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B:\proj2001\104466.01 SASWA\reports\PCC\SWMP REVISED\REVISED\Bridgeport Charter Township\"/>
    </mc:Choice>
  </mc:AlternateContent>
  <xr:revisionPtr revIDLastSave="0" documentId="13_ncr:1_{B346CD1A-DE2D-4DB2-A1A2-F9A987FA78B8}" xr6:coauthVersionLast="45" xr6:coauthVersionMax="45" xr10:uidLastSave="{00000000-0000-0000-0000-000000000000}"/>
  <bookViews>
    <workbookView xWindow="-120" yWindow="-120" windowWidth="29040" windowHeight="15840" tabRatio="786" activeTab="3" xr2:uid="{00000000-000D-0000-FFFF-FFFF00000000}"/>
  </bookViews>
  <sheets>
    <sheet name="Site Description" sheetId="2" r:id="rId1"/>
    <sheet name="Runoff Coefficient" sheetId="3" r:id="rId2"/>
    <sheet name="Stormwater Calculations" sheetId="12" r:id="rId3"/>
    <sheet name="Bankfull Calculations" sheetId="11" r:id="rId4"/>
  </sheets>
  <definedNames>
    <definedName name="_xlnm.Print_Area" localSheetId="1">'Runoff Coefficient'!$A$1:$F$39</definedName>
    <definedName name="_xlnm.Print_Area" localSheetId="0">'Site Description'!$A$1:$I$47</definedName>
    <definedName name="_xlnm.Print_Area" localSheetId="2">'Stormwater Calculations'!$A$1:$F$117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2" l="1"/>
  <c r="D38" i="2"/>
  <c r="J37" i="2"/>
  <c r="D37" i="2"/>
  <c r="J36" i="2"/>
  <c r="D36" i="2"/>
  <c r="J35" i="2"/>
  <c r="D35" i="2"/>
  <c r="J34" i="2"/>
  <c r="D34" i="2"/>
  <c r="D61" i="12" l="1"/>
  <c r="D60" i="12"/>
  <c r="D14" i="12"/>
  <c r="D20" i="12" s="1"/>
  <c r="D24" i="12" l="1"/>
  <c r="D28" i="12"/>
  <c r="D114" i="12"/>
  <c r="F2" i="3"/>
  <c r="D6" i="3"/>
  <c r="F6" i="3" s="1"/>
  <c r="D7" i="3"/>
  <c r="F7" i="3" s="1"/>
  <c r="D8" i="3"/>
  <c r="I8" i="3" s="1"/>
  <c r="D9" i="3"/>
  <c r="F9" i="3" s="1"/>
  <c r="D10" i="3"/>
  <c r="I10" i="3" s="1"/>
  <c r="D11" i="3"/>
  <c r="F11" i="3" s="1"/>
  <c r="D12" i="3"/>
  <c r="F12" i="3" s="1"/>
  <c r="E13" i="3"/>
  <c r="D107" i="12"/>
  <c r="D115" i="12" s="1"/>
  <c r="F10" i="3" l="1"/>
  <c r="F8" i="3"/>
  <c r="I6" i="3"/>
  <c r="I9" i="3"/>
  <c r="F13" i="3"/>
  <c r="D15" i="3" s="1"/>
  <c r="B7" i="11" s="1"/>
  <c r="I12" i="3"/>
  <c r="I11" i="3"/>
  <c r="I7" i="3"/>
  <c r="I13" i="3" l="1"/>
  <c r="D27" i="3"/>
  <c r="D28" i="3"/>
  <c r="D29" i="3"/>
  <c r="D30" i="3"/>
  <c r="D31" i="3"/>
  <c r="D32" i="3"/>
  <c r="D26" i="3"/>
  <c r="D69" i="12" l="1"/>
  <c r="D75" i="12" s="1"/>
  <c r="B21" i="11" l="1"/>
  <c r="B29" i="11" s="1"/>
  <c r="F22" i="3" l="1"/>
  <c r="E33" i="3"/>
  <c r="D8" i="12" s="1"/>
  <c r="I32" i="3"/>
  <c r="I31" i="3"/>
  <c r="F30" i="3"/>
  <c r="I29" i="3"/>
  <c r="I28" i="3"/>
  <c r="I27" i="3"/>
  <c r="I26" i="3"/>
  <c r="D16" i="12" l="1"/>
  <c r="B6" i="11"/>
  <c r="D17" i="12"/>
  <c r="D34" i="12"/>
  <c r="I30" i="3"/>
  <c r="I33" i="3" s="1"/>
  <c r="F28" i="3"/>
  <c r="F31" i="3"/>
  <c r="F26" i="3"/>
  <c r="F29" i="3"/>
  <c r="F32" i="3"/>
  <c r="F27" i="3"/>
  <c r="D31" i="12" l="1"/>
  <c r="B10" i="11"/>
  <c r="B30" i="11" s="1"/>
  <c r="F33" i="3"/>
  <c r="D35" i="3" s="1"/>
  <c r="D10" i="12" s="1"/>
  <c r="D81" i="12" s="1"/>
  <c r="D84" i="12" s="1"/>
  <c r="D87" i="12" s="1"/>
  <c r="D90" i="12" s="1"/>
  <c r="D37" i="12" l="1"/>
  <c r="D40" i="12" s="1"/>
  <c r="D43" i="12" s="1"/>
  <c r="B15" i="11"/>
  <c r="B24" i="11" s="1"/>
  <c r="B25" i="11" s="1"/>
  <c r="B27" i="11" s="1"/>
  <c r="D52" i="12"/>
  <c r="D56" i="12" s="1"/>
  <c r="D54" i="12" l="1"/>
  <c r="D55" i="12" s="1"/>
  <c r="D46" i="12"/>
  <c r="D96" i="12"/>
  <c r="D101" i="12" s="1"/>
  <c r="D116" i="12" l="1"/>
  <c r="D110" i="12" l="1"/>
  <c r="D111" i="12" s="1"/>
  <c r="D113" i="12" s="1"/>
  <c r="D64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Enter where the water is being discharged to.</t>
        </r>
      </text>
    </comment>
    <comment ref="D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Enter value given by county engineer or leave as 0%</t>
        </r>
      </text>
    </comment>
    <comment ref="D11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Enter the length in feet from the highest elevation to the design outlet point.</t>
        </r>
      </text>
    </comment>
    <comment ref="D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Assumes velocity for overland drainage is 2.0 fps, and a lag time of 15 minutes.</t>
        </r>
      </text>
    </comment>
    <comment ref="D49" authorId="0" shapeId="0" xr:uid="{8A4605E2-70CB-4E05-9990-DC8C5D652296}">
      <text>
        <r>
          <rPr>
            <b/>
            <sz val="9"/>
            <color indexed="81"/>
            <rFont val="Tahoma"/>
            <family val="2"/>
          </rPr>
          <t>Enter height from center of orifice to the maximum pond elevation.</t>
        </r>
      </text>
    </comment>
    <comment ref="D59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Enter value in increments of 1/8 inch from 0 to maximum circular orifice diameter. (found on previous line)</t>
        </r>
      </text>
    </comment>
    <comment ref="D6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68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Enter diameter of the line.</t>
        </r>
      </text>
    </comment>
    <comment ref="D71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Plastic = 0.009
Concrete = 0.012
Corrugated Metal = 0.025</t>
        </r>
      </text>
    </comment>
    <comment ref="D72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Enter slope from pond water elevation to the invert of the outlet pipe.</t>
        </r>
      </text>
    </comment>
    <comment ref="D75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This value must be lower or the exact value of the allowable discharge (Qa) that was calculated at the top of the spreadsheet.</t>
        </r>
      </text>
    </comment>
    <comment ref="D7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Value of Actual Restricted Discharge of selection that was made.</t>
        </r>
      </text>
    </comment>
    <comment ref="D105" authorId="0" shapeId="0" xr:uid="{64B0852B-ED44-4ABB-A730-281D44149B1E}">
      <text>
        <r>
          <rPr>
            <b/>
            <sz val="9"/>
            <color indexed="81"/>
            <rFont val="Tahoma"/>
            <family val="2"/>
          </rPr>
          <t>Enter maximum water elevation in pond.</t>
        </r>
      </text>
    </comment>
    <comment ref="D106" authorId="0" shapeId="0" xr:uid="{FB73821A-3453-4630-8BCF-67D6374425E7}">
      <text>
        <r>
          <rPr>
            <b/>
            <sz val="9"/>
            <color indexed="81"/>
            <rFont val="Tahoma"/>
            <family val="2"/>
          </rPr>
          <t>Enter elevation of bottom of pond.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Chartier, Jacob T.</author>
  </authors>
  <commentList>
    <comment ref="B1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Enter maximum water elevation in pond when banks are full.</t>
        </r>
      </text>
    </comment>
  </commentList>
</comments>
</file>

<file path=xl/sharedStrings.xml><?xml version="1.0" encoding="utf-8"?>
<sst xmlns="http://schemas.openxmlformats.org/spreadsheetml/2006/main" count="279" uniqueCount="164">
  <si>
    <t>PROJECT:</t>
  </si>
  <si>
    <t>DATE:</t>
  </si>
  <si>
    <t>ENGINEER:</t>
  </si>
  <si>
    <t>DETERMINE ALLOWABLE DISCHARGE:</t>
  </si>
  <si>
    <t>Receiving Drain/ Storm Sewer/ Etc.:</t>
  </si>
  <si>
    <t>%</t>
  </si>
  <si>
    <t>Intensity (I) =</t>
  </si>
  <si>
    <t>DETERMINE REQUIRED STORAGE:</t>
  </si>
  <si>
    <t>Storage Time (T) =</t>
  </si>
  <si>
    <t>Head Differential (dH) =</t>
  </si>
  <si>
    <t>(Center of Orifice to Maximum Ponding Elevation)</t>
  </si>
  <si>
    <r>
      <t>Qa/[0.62(64.4(dH))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]</t>
    </r>
  </si>
  <si>
    <t>Diameter of Orifice =</t>
  </si>
  <si>
    <t>Actual Restricted Discharge (Qr) =</t>
  </si>
  <si>
    <t>Diameter of Line (D) =</t>
  </si>
  <si>
    <t>Manning's roughness coefficient (n) =</t>
  </si>
  <si>
    <t>(Based on Actual Restricted Discharge)</t>
  </si>
  <si>
    <t>1)  Township:</t>
  </si>
  <si>
    <t>2)  County:</t>
  </si>
  <si>
    <t>4)  Zoned:</t>
  </si>
  <si>
    <t>5)  Design Storm:</t>
  </si>
  <si>
    <t>6)  Impervious Factor:</t>
  </si>
  <si>
    <t xml:space="preserve">Total Site </t>
  </si>
  <si>
    <t xml:space="preserve">Building Envelope </t>
  </si>
  <si>
    <t xml:space="preserve">Parking Lot </t>
  </si>
  <si>
    <t xml:space="preserve">Sidewalk </t>
  </si>
  <si>
    <t xml:space="preserve">Grass </t>
  </si>
  <si>
    <t>sf</t>
  </si>
  <si>
    <t>acres</t>
  </si>
  <si>
    <t>LOCATION:</t>
  </si>
  <si>
    <t>PURPOSE:</t>
  </si>
  <si>
    <t>GIVEN:</t>
  </si>
  <si>
    <t>REFERENCES:</t>
  </si>
  <si>
    <t xml:space="preserve">DRAINAGE </t>
  </si>
  <si>
    <t>DISTRICT:</t>
  </si>
  <si>
    <t>3)  Parcel #:</t>
  </si>
  <si>
    <t>Project:</t>
  </si>
  <si>
    <t>Date:</t>
  </si>
  <si>
    <t>Location:</t>
  </si>
  <si>
    <t>C</t>
  </si>
  <si>
    <t>Area (acres)</t>
  </si>
  <si>
    <t>Totals =</t>
  </si>
  <si>
    <t>Holding Time =</t>
  </si>
  <si>
    <t>Bridgeport Charter Township</t>
  </si>
  <si>
    <t>Lawn Area</t>
  </si>
  <si>
    <t>Water</t>
  </si>
  <si>
    <t>Length of runoff (L) =</t>
  </si>
  <si>
    <t>L/(2*60)+15</t>
  </si>
  <si>
    <t>C x Area</t>
  </si>
  <si>
    <r>
      <t>H</t>
    </r>
    <r>
      <rPr>
        <b/>
        <vertAlign val="subscript"/>
        <sz val="10"/>
        <rFont val="Times New Roman"/>
        <family val="1"/>
      </rPr>
      <t>ave,bf</t>
    </r>
    <r>
      <rPr>
        <b/>
        <sz val="10"/>
        <rFont val="Times New Roman"/>
        <family val="1"/>
      </rPr>
      <t xml:space="preserve"> = </t>
    </r>
  </si>
  <si>
    <r>
      <t>BF Volume (V</t>
    </r>
    <r>
      <rPr>
        <vertAlign val="subscript"/>
        <sz val="10"/>
        <rFont val="Times New Roman"/>
        <family val="1"/>
      </rPr>
      <t>bf</t>
    </r>
    <r>
      <rPr>
        <sz val="10"/>
        <rFont val="Times New Roman"/>
        <family val="1"/>
      </rPr>
      <t>) =</t>
    </r>
  </si>
  <si>
    <t>inches</t>
  </si>
  <si>
    <t>Saginaw County</t>
  </si>
  <si>
    <t>(if applicable)</t>
  </si>
  <si>
    <t>RUNOFF COEFFICIENT- EXISTING CONDITIONS</t>
  </si>
  <si>
    <t>RUNOFF COEFFICIENT- PROPOSED CONDITIONS</t>
  </si>
  <si>
    <t>DETERMINE RESTRICTOR AREA BASED ON ORIFICE EQUATION:</t>
  </si>
  <si>
    <t xml:space="preserve">DETERMINE ACTUAL RESTRICTED DISCHARGE (ORIFICE EQUATION): </t>
  </si>
  <si>
    <r>
      <t>h</t>
    </r>
    <r>
      <rPr>
        <vertAlign val="subscript"/>
        <sz val="10"/>
        <rFont val="Times New Roman"/>
        <family val="1"/>
      </rPr>
      <t>ave, bf</t>
    </r>
    <r>
      <rPr>
        <sz val="10"/>
        <rFont val="Times New Roman"/>
        <family val="1"/>
      </rPr>
      <t xml:space="preserve"> = 0.667*(elevation bank full - elevation orifice invert)</t>
    </r>
  </si>
  <si>
    <t>DETERMINE AREA OF ORIFICE:</t>
  </si>
  <si>
    <t>DETERMINE REQUIRED STORAGE BASED ON ACTUAL RESTRICTED DISCHARGE:</t>
  </si>
  <si>
    <t>Maximum Circular Orifice Diameter =</t>
  </si>
  <si>
    <t>Vs x A x Cw</t>
  </si>
  <si>
    <t>Total Volume of Storage Required for the Site (Vt) =</t>
  </si>
  <si>
    <t>Max. Vol.of Storage per Acre (Vs) =</t>
  </si>
  <si>
    <t>Maximum Outflow per Acre (Qo)  =</t>
  </si>
  <si>
    <t xml:space="preserve">Actual Restr. Disch., Orifice or Metering Line (Qr): </t>
  </si>
  <si>
    <r>
      <t>((pi/4)*D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)(1.486/n)(D/4)</t>
    </r>
    <r>
      <rPr>
        <vertAlign val="superscript"/>
        <sz val="10"/>
        <rFont val="Times New Roman"/>
        <family val="1"/>
      </rPr>
      <t>2/3</t>
    </r>
    <r>
      <rPr>
        <sz val="10"/>
        <rFont val="Times New Roman"/>
        <family val="1"/>
      </rPr>
      <t>(s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)</t>
    </r>
  </si>
  <si>
    <r>
      <t>A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>/Area of orifice</t>
    </r>
  </si>
  <si>
    <t xml:space="preserve">Number of Holes Needed= </t>
  </si>
  <si>
    <t xml:space="preserve">Area of Orifice = </t>
  </si>
  <si>
    <t>Area of orifice (a) =</t>
  </si>
  <si>
    <t>Maximum Outflow per Contributing Acre (Qo)  =</t>
  </si>
  <si>
    <t>Qa/ A*Cw</t>
  </si>
  <si>
    <t>Allowable Discharge (Qa) =</t>
  </si>
  <si>
    <t>(Ci)(I)(Ai)+(Cp)(I)(Ap)</t>
  </si>
  <si>
    <t>Impervious Area Runoff Coefficient (Ci) =</t>
  </si>
  <si>
    <t>Tc/(8+Tc)</t>
  </si>
  <si>
    <t>Pervious Area Runoff Coefficient (Cp) =</t>
  </si>
  <si>
    <t>Tc/(80+4Tc)</t>
  </si>
  <si>
    <t>175/(25+Tc)</t>
  </si>
  <si>
    <t>Allowable Discharge Impervious Area (Ai) =</t>
  </si>
  <si>
    <t>Allowable Discharge Pervious Area (Ap) =</t>
  </si>
  <si>
    <t>Time of Concentration (Tc) =</t>
  </si>
  <si>
    <t>Impervious Factor (IF) =</t>
  </si>
  <si>
    <t>Impervious Area (Pavements/Roofs/Buildings)</t>
  </si>
  <si>
    <t>Park/Playground/Cemetery Area</t>
  </si>
  <si>
    <t>Woodland Area</t>
  </si>
  <si>
    <t>Pasture Area</t>
  </si>
  <si>
    <t>Cultivated Area</t>
  </si>
  <si>
    <t>SITE DRAINAGE SUMMARY:</t>
  </si>
  <si>
    <t>SITE STATISTICS:</t>
  </si>
  <si>
    <r>
      <t>C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= (Total C x Area) / Total Area =</t>
    </r>
  </si>
  <si>
    <r>
      <t>C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= (Total C  x Area) / Total Area =</t>
    </r>
  </si>
  <si>
    <t>cubic feet</t>
  </si>
  <si>
    <t>Contributing Drainage Area (A) =</t>
  </si>
  <si>
    <t xml:space="preserve">Weighted Runoff Coeff (Cw) = </t>
  </si>
  <si>
    <t>DETERMINE REQUIRED WATER QUALITY VOLUME:</t>
  </si>
  <si>
    <t>DETERMINATION OF WQ RELEASE RATE:</t>
  </si>
  <si>
    <t>DETERMINE AREA OF WQ ORIFICE:</t>
  </si>
  <si>
    <t>3630 x A x Cw</t>
  </si>
  <si>
    <t>Goal is a holding time of 18 (minimum) to 24 hrs.</t>
  </si>
  <si>
    <t>Use X hrs  =</t>
  </si>
  <si>
    <t>cfs</t>
  </si>
  <si>
    <r>
      <t>WQ Head Differential (h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) = </t>
    </r>
  </si>
  <si>
    <t>0.667*(elevation WQ - elevation WQ orifice invert)</t>
  </si>
  <si>
    <t>Elevation WQ =</t>
  </si>
  <si>
    <t>feet</t>
  </si>
  <si>
    <t>Elevation WQ orifice invert =</t>
  </si>
  <si>
    <t>square feet</t>
  </si>
  <si>
    <t>Diameter of WQ Orifice =</t>
  </si>
  <si>
    <t>Actual Diameter of WQ Orifice =</t>
  </si>
  <si>
    <t>hrs</t>
  </si>
  <si>
    <r>
      <t>h</t>
    </r>
    <r>
      <rPr>
        <vertAlign val="subscript"/>
        <sz val="10"/>
        <rFont val="Times New Roman"/>
        <family val="1"/>
      </rPr>
      <t>ave</t>
    </r>
    <r>
      <rPr>
        <sz val="10"/>
        <rFont val="Times New Roman"/>
        <family val="1"/>
      </rPr>
      <t xml:space="preserve"> = </t>
    </r>
  </si>
  <si>
    <r>
      <t>(6562.5/Qo)</t>
    </r>
    <r>
      <rPr>
        <vertAlign val="superscript"/>
        <sz val="10"/>
        <rFont val="Times New Roman"/>
        <family val="1"/>
      </rPr>
      <t>1/2</t>
    </r>
    <r>
      <rPr>
        <sz val="10"/>
        <rFont val="Times New Roman"/>
        <family val="1"/>
      </rPr>
      <t>-25</t>
    </r>
  </si>
  <si>
    <t>[(10500xT)/(T+25)]-(40xQoxT)</t>
  </si>
  <si>
    <t>holes</t>
  </si>
  <si>
    <r>
      <t>0.62*A*(2*g*dH)</t>
    </r>
    <r>
      <rPr>
        <vertAlign val="superscript"/>
        <sz val="10"/>
        <rFont val="Times New Roman"/>
        <family val="1"/>
      </rPr>
      <t>1/2</t>
    </r>
  </si>
  <si>
    <t>Slope of Hydraulic Grade Line (s) =</t>
  </si>
  <si>
    <t>Qr/ A * Cw</t>
  </si>
  <si>
    <r>
      <t>Weighted Runoff Coeff Existing Cond. (C</t>
    </r>
    <r>
      <rPr>
        <vertAlign val="subscript"/>
        <sz val="10"/>
        <rFont val="Times New Roman"/>
        <family val="1"/>
      </rPr>
      <t>w Ex</t>
    </r>
    <r>
      <rPr>
        <sz val="10"/>
        <rFont val="Times New Roman"/>
        <family val="1"/>
      </rPr>
      <t xml:space="preserve">) = </t>
    </r>
  </si>
  <si>
    <t>DETERMINE REQUIRED BANK FULL / CHANNEL PROTECTION STORAGE:</t>
  </si>
  <si>
    <t>Elevation Orifice Invert =</t>
  </si>
  <si>
    <t>Elevation Bank Full =</t>
  </si>
  <si>
    <t>minutes</t>
  </si>
  <si>
    <t>inches / hour</t>
  </si>
  <si>
    <t>Tc&gt;30 min.</t>
  </si>
  <si>
    <t>Tc&lt;=30 min.</t>
  </si>
  <si>
    <t>cfs/ acre</t>
  </si>
  <si>
    <t>cubic feet / acre</t>
  </si>
  <si>
    <t>cfs / acre</t>
  </si>
  <si>
    <r>
      <t>WQ Volume (V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>) =</t>
    </r>
  </si>
  <si>
    <r>
      <t>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= </t>
    </r>
  </si>
  <si>
    <r>
      <t>V</t>
    </r>
    <r>
      <rPr>
        <vertAlign val="subscript"/>
        <sz val="10"/>
        <rFont val="Times New Roman"/>
        <family val="1"/>
      </rPr>
      <t xml:space="preserve">ff </t>
    </r>
    <r>
      <rPr>
        <sz val="10"/>
        <rFont val="Times New Roman"/>
        <family val="1"/>
      </rPr>
      <t>/ (X*3600)</t>
    </r>
  </si>
  <si>
    <r>
      <t>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</si>
  <si>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r>
      <t>Actual Area of Water Quality Orifice (A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) = </t>
    </r>
  </si>
  <si>
    <t>Provided Storage Volume =</t>
  </si>
  <si>
    <r>
      <t>hrs holding time Q</t>
    </r>
    <r>
      <rPr>
        <vertAlign val="subscript"/>
        <sz val="10"/>
        <rFont val="Times New Roman"/>
        <family val="1"/>
      </rPr>
      <t>ff</t>
    </r>
    <r>
      <rPr>
        <sz val="10"/>
        <rFont val="Times New Roman"/>
        <family val="1"/>
      </rPr>
      <t xml:space="preserve">= </t>
    </r>
  </si>
  <si>
    <r>
      <t>Actual Q</t>
    </r>
    <r>
      <rPr>
        <vertAlign val="subscript"/>
        <sz val="10"/>
        <rFont val="Times New Roman"/>
        <family val="1"/>
      </rPr>
      <t xml:space="preserve">ff </t>
    </r>
    <r>
      <rPr>
        <sz val="10"/>
        <rFont val="Times New Roman"/>
        <family val="1"/>
      </rPr>
      <t>=</t>
    </r>
  </si>
  <si>
    <t>Provide a description of site conditions or drainage strategies for reviewer</t>
  </si>
  <si>
    <r>
      <t>7768*A*C</t>
    </r>
    <r>
      <rPr>
        <vertAlign val="subscript"/>
        <sz val="10"/>
        <rFont val="Times New Roman"/>
        <family val="1"/>
      </rPr>
      <t>w Ex</t>
    </r>
  </si>
  <si>
    <t>DETERMINATION OF CP RELEASE RATE:</t>
  </si>
  <si>
    <r>
      <t>Hold Time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) =</t>
    </r>
  </si>
  <si>
    <r>
      <t xml:space="preserve">  Channel Protection Release Rate (Q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) = </t>
    </r>
  </si>
  <si>
    <r>
      <t>V</t>
    </r>
    <r>
      <rPr>
        <vertAlign val="subscript"/>
        <sz val="10"/>
        <rFont val="Times New Roman"/>
        <family val="1"/>
      </rPr>
      <t xml:space="preserve">cp </t>
    </r>
    <r>
      <rPr>
        <sz val="10"/>
        <rFont val="Times New Roman"/>
        <family val="1"/>
      </rPr>
      <t>/ (T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>*3600)</t>
    </r>
  </si>
  <si>
    <r>
      <t>Area of Channel Protection Orifice (A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) = </t>
    </r>
  </si>
  <si>
    <r>
      <t>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/ ((0.62)*(2g h</t>
    </r>
    <r>
      <rPr>
        <vertAlign val="subscript"/>
        <sz val="10"/>
        <rFont val="Times New Roman"/>
        <family val="1"/>
      </rPr>
      <t xml:space="preserve">ave,cp 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0.5</t>
    </r>
    <r>
      <rPr>
        <sz val="10"/>
        <rFont val="Times New Roman"/>
        <family val="1"/>
      </rPr>
      <t>)</t>
    </r>
  </si>
  <si>
    <t>Diameter of CP Orifice =</t>
  </si>
  <si>
    <t>Actual Diameter of CP Orifice =</t>
  </si>
  <si>
    <r>
      <t>Actual Q</t>
    </r>
    <r>
      <rPr>
        <vertAlign val="subscript"/>
        <sz val="10"/>
        <rFont val="Times New Roman"/>
        <family val="1"/>
      </rPr>
      <t>cp</t>
    </r>
    <r>
      <rPr>
        <sz val="10"/>
        <rFont val="Times New Roman"/>
        <family val="1"/>
      </rPr>
      <t xml:space="preserve"> =</t>
    </r>
    <r>
      <rPr>
        <vertAlign val="subscript"/>
        <sz val="10"/>
        <rFont val="Times New Roman"/>
        <family val="1"/>
      </rPr>
      <t xml:space="preserve"> </t>
    </r>
  </si>
  <si>
    <t>Designed Holding Time =</t>
  </si>
  <si>
    <r>
      <t>Area of Water Quality Orifice (A</t>
    </r>
    <r>
      <rPr>
        <vertAlign val="subscript"/>
        <sz val="10"/>
        <rFont val="Times New Roman"/>
        <family val="1"/>
      </rPr>
      <t>WQ</t>
    </r>
    <r>
      <rPr>
        <sz val="10"/>
        <rFont val="Times New Roman"/>
        <family val="1"/>
      </rPr>
      <t xml:space="preserve">) = </t>
    </r>
  </si>
  <si>
    <t>DETERMINE ACTUAL RESTRICTED DISCHARGE (METERING LINE):</t>
  </si>
  <si>
    <t>Note that the WQ volume is incorporated into the CP calculations and additional storage/ orifice for WQ is not required</t>
  </si>
  <si>
    <t>ac</t>
  </si>
  <si>
    <t xml:space="preserve">Existing Conditions </t>
  </si>
  <si>
    <t xml:space="preserve">Proposed Conditions </t>
  </si>
  <si>
    <t>(Type of development or describe project)</t>
  </si>
  <si>
    <t>PROJECT NAME:</t>
  </si>
  <si>
    <t>PROJECT #:</t>
  </si>
  <si>
    <t>Post Construction Control Stormwater Management Design Standards Bridgeport Charter Township 2020</t>
  </si>
  <si>
    <t>(or address)</t>
  </si>
  <si>
    <t>Complete if using a metering line to restrict flow</t>
  </si>
  <si>
    <t>Discuss with Bridgeport Township Engineer if site needs this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</si>
</sst>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#,##0.0000"/>
    <numFmt numFmtId="168" formatCode="#,##0.00000"/>
    <numFmt numFmtId="169" formatCode="0.0000;\-0.0000;;@"/>
    <numFmt numFmtId="170" formatCode="0;\-0;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Garamond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vertAlign val="subscript"/>
      <sz val="10"/>
      <name val="Times New Roman"/>
      <family val="1"/>
    </font>
    <font>
      <vertAlign val="subscript"/>
      <sz val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vertAlign val="subscript"/>
      <sz val="12"/>
      <name val="Times New Roman"/>
      <family val="1"/>
    </font>
    <font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44">
    <xf numFmtId="0" fontId="0" fillId="0" borderId="0" xfId="0"/>
    <xf numFmtId="0" fontId="3" fillId="0" borderId="0" xfId="0" applyFont="1"/>
    <xf numFmtId="0" fontId="2" fillId="0" borderId="0" xfId="0" applyFont="1"/>
    <xf numFmtId="3" fontId="2" fillId="0" borderId="0" xfId="1" applyNumberFormat="1" applyFont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/>
    <xf numFmtId="14" fontId="12" fillId="0" borderId="6" xfId="0" applyNumberFormat="1" applyFont="1" applyFill="1" applyBorder="1" applyAlignment="1">
      <alignment horizontal="center"/>
    </xf>
    <xf numFmtId="0" fontId="12" fillId="0" borderId="0" xfId="0" applyFont="1" applyBorder="1"/>
    <xf numFmtId="0" fontId="12" fillId="2" borderId="9" xfId="0" applyFont="1" applyFill="1" applyBorder="1"/>
    <xf numFmtId="0" fontId="12" fillId="2" borderId="6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2" fillId="0" borderId="19" xfId="0" applyFont="1" applyFill="1" applyBorder="1"/>
    <xf numFmtId="166" fontId="12" fillId="0" borderId="0" xfId="0" applyNumberFormat="1" applyFont="1" applyFill="1" applyBorder="1" applyAlignment="1">
      <alignment horizontal="center"/>
    </xf>
    <xf numFmtId="0" fontId="12" fillId="0" borderId="16" xfId="0" applyFont="1" applyFill="1" applyBorder="1"/>
    <xf numFmtId="0" fontId="12" fillId="0" borderId="16" xfId="0" applyFont="1" applyFill="1" applyBorder="1" applyAlignment="1">
      <alignment horizontal="center"/>
    </xf>
    <xf numFmtId="0" fontId="12" fillId="0" borderId="21" xfId="0" applyFont="1" applyFill="1" applyBorder="1"/>
    <xf numFmtId="0" fontId="15" fillId="0" borderId="0" xfId="0" applyFont="1"/>
    <xf numFmtId="2" fontId="3" fillId="0" borderId="0" xfId="0" applyNumberFormat="1" applyFont="1"/>
    <xf numFmtId="2" fontId="2" fillId="0" borderId="0" xfId="0" applyNumberFormat="1" applyFont="1"/>
    <xf numFmtId="0" fontId="3" fillId="0" borderId="0" xfId="0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 horizontal="center"/>
    </xf>
    <xf numFmtId="2" fontId="13" fillId="0" borderId="18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0" fontId="13" fillId="0" borderId="0" xfId="0" applyFont="1" applyBorder="1"/>
    <xf numFmtId="0" fontId="6" fillId="0" borderId="0" xfId="0" applyFont="1" applyBorder="1" applyAlignment="1">
      <alignment horizontal="left"/>
    </xf>
    <xf numFmtId="0" fontId="13" fillId="0" borderId="0" xfId="0" applyFont="1" applyFill="1" applyBorder="1"/>
    <xf numFmtId="0" fontId="6" fillId="0" borderId="0" xfId="0" applyFont="1" applyFill="1" applyBorder="1"/>
    <xf numFmtId="0" fontId="13" fillId="0" borderId="0" xfId="0" applyFont="1" applyBorder="1" applyAlignment="1"/>
    <xf numFmtId="0" fontId="20" fillId="0" borderId="0" xfId="0" applyFont="1" applyBorder="1"/>
    <xf numFmtId="0" fontId="21" fillId="0" borderId="0" xfId="0" applyFont="1" applyBorder="1"/>
    <xf numFmtId="0" fontId="12" fillId="2" borderId="0" xfId="0" applyFont="1" applyFill="1" applyBorder="1"/>
    <xf numFmtId="0" fontId="12" fillId="2" borderId="19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9" xfId="0" applyFont="1" applyFill="1" applyBorder="1"/>
    <xf numFmtId="0" fontId="12" fillId="0" borderId="16" xfId="0" applyFont="1" applyBorder="1"/>
    <xf numFmtId="0" fontId="12" fillId="0" borderId="16" xfId="0" applyFont="1" applyBorder="1" applyAlignment="1">
      <alignment horizontal="right"/>
    </xf>
    <xf numFmtId="0" fontId="12" fillId="0" borderId="21" xfId="0" applyFont="1" applyBorder="1"/>
    <xf numFmtId="0" fontId="22" fillId="0" borderId="8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22" fillId="0" borderId="9" xfId="0" applyFont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2" fontId="6" fillId="0" borderId="0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/>
    <xf numFmtId="2" fontId="14" fillId="0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Alignment="1" applyProtection="1">
      <alignment horizontal="center"/>
      <protection locked="0"/>
    </xf>
    <xf numFmtId="0" fontId="1" fillId="0" borderId="0" xfId="3"/>
    <xf numFmtId="0" fontId="3" fillId="0" borderId="0" xfId="3" applyFont="1"/>
    <xf numFmtId="2" fontId="3" fillId="0" borderId="0" xfId="3" applyNumberFormat="1" applyFont="1"/>
    <xf numFmtId="1" fontId="2" fillId="0" borderId="0" xfId="3" applyNumberFormat="1" applyFont="1" applyAlignment="1">
      <alignment horizontal="center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0" fontId="2" fillId="0" borderId="0" xfId="3" applyFont="1" applyAlignment="1">
      <alignment horizontal="right"/>
    </xf>
    <xf numFmtId="0" fontId="3" fillId="0" borderId="0" xfId="3" applyFont="1" applyAlignment="1">
      <alignment horizontal="left"/>
    </xf>
    <xf numFmtId="0" fontId="7" fillId="0" borderId="0" xfId="3" applyFont="1"/>
    <xf numFmtId="0" fontId="3" fillId="0" borderId="0" xfId="3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0" fontId="1" fillId="0" borderId="0" xfId="3" applyFont="1"/>
    <xf numFmtId="1" fontId="3" fillId="0" borderId="0" xfId="3" applyNumberFormat="1" applyFont="1"/>
    <xf numFmtId="0" fontId="2" fillId="0" borderId="0" xfId="3" applyFont="1"/>
    <xf numFmtId="0" fontId="3" fillId="3" borderId="0" xfId="3" applyFont="1" applyFill="1" applyAlignment="1" applyProtection="1">
      <alignment horizontal="center"/>
      <protection locked="0"/>
    </xf>
    <xf numFmtId="166" fontId="3" fillId="3" borderId="0" xfId="3" applyNumberFormat="1" applyFont="1" applyFill="1" applyAlignment="1" applyProtection="1">
      <alignment horizontal="center"/>
      <protection locked="0"/>
    </xf>
    <xf numFmtId="165" fontId="3" fillId="3" borderId="0" xfId="3" applyNumberFormat="1" applyFont="1" applyFill="1" applyAlignment="1" applyProtection="1">
      <alignment horizontal="center"/>
      <protection locked="0"/>
    </xf>
    <xf numFmtId="2" fontId="12" fillId="0" borderId="5" xfId="0" applyNumberFormat="1" applyFont="1" applyFill="1" applyBorder="1" applyAlignment="1" applyProtection="1">
      <alignment horizontal="center"/>
      <protection locked="0"/>
    </xf>
    <xf numFmtId="2" fontId="12" fillId="0" borderId="13" xfId="0" applyNumberFormat="1" applyFont="1" applyFill="1" applyBorder="1" applyAlignment="1" applyProtection="1">
      <alignment horizontal="center"/>
      <protection locked="0"/>
    </xf>
    <xf numFmtId="2" fontId="12" fillId="0" borderId="7" xfId="0" applyNumberFormat="1" applyFont="1" applyFill="1" applyBorder="1" applyAlignment="1" applyProtection="1">
      <alignment horizontal="center"/>
      <protection locked="0"/>
    </xf>
    <xf numFmtId="2" fontId="12" fillId="0" borderId="22" xfId="0" applyNumberFormat="1" applyFont="1" applyFill="1" applyBorder="1" applyAlignment="1" applyProtection="1">
      <alignment horizontal="center"/>
      <protection locked="0"/>
    </xf>
    <xf numFmtId="0" fontId="7" fillId="0" borderId="0" xfId="3" applyFont="1" applyProtection="1"/>
    <xf numFmtId="0" fontId="1" fillId="0" borderId="0" xfId="3" applyFont="1" applyProtection="1"/>
    <xf numFmtId="0" fontId="3" fillId="0" borderId="0" xfId="3" applyFont="1" applyProtection="1"/>
    <xf numFmtId="0" fontId="3" fillId="0" borderId="0" xfId="3" applyFont="1" applyAlignment="1" applyProtection="1">
      <alignment horizontal="center"/>
    </xf>
    <xf numFmtId="0" fontId="2" fillId="0" borderId="0" xfId="3" applyFont="1" applyProtection="1"/>
    <xf numFmtId="0" fontId="3" fillId="0" borderId="0" xfId="3" applyFont="1" applyAlignment="1" applyProtection="1">
      <alignment horizontal="right"/>
    </xf>
    <xf numFmtId="2" fontId="3" fillId="0" borderId="0" xfId="3" applyNumberFormat="1" applyFont="1" applyFill="1" applyAlignment="1" applyProtection="1">
      <alignment horizontal="center"/>
    </xf>
    <xf numFmtId="9" fontId="3" fillId="0" borderId="0" xfId="2" applyFont="1" applyProtection="1"/>
    <xf numFmtId="0" fontId="3" fillId="0" borderId="0" xfId="3" applyFont="1" applyFill="1" applyAlignment="1" applyProtection="1">
      <alignment horizontal="center"/>
    </xf>
    <xf numFmtId="2" fontId="2" fillId="0" borderId="0" xfId="3" applyNumberFormat="1" applyFont="1" applyAlignment="1" applyProtection="1">
      <alignment horizontal="center"/>
    </xf>
    <xf numFmtId="0" fontId="3" fillId="0" borderId="0" xfId="3" applyFont="1" applyAlignment="1" applyProtection="1">
      <alignment horizontal="left"/>
    </xf>
    <xf numFmtId="2" fontId="2" fillId="0" borderId="0" xfId="3" applyNumberFormat="1" applyFont="1" applyFill="1" applyAlignment="1" applyProtection="1">
      <alignment horizontal="center"/>
    </xf>
    <xf numFmtId="165" fontId="2" fillId="0" borderId="0" xfId="3" applyNumberFormat="1" applyFont="1" applyAlignment="1" applyProtection="1">
      <alignment horizontal="center"/>
    </xf>
    <xf numFmtId="165" fontId="3" fillId="0" borderId="0" xfId="3" applyNumberFormat="1" applyFont="1" applyAlignment="1" applyProtection="1">
      <alignment horizontal="center"/>
    </xf>
    <xf numFmtId="0" fontId="3" fillId="0" borderId="2" xfId="3" applyFont="1" applyBorder="1" applyProtection="1"/>
    <xf numFmtId="0" fontId="3" fillId="0" borderId="3" xfId="3" applyFont="1" applyBorder="1" applyAlignment="1" applyProtection="1">
      <alignment horizontal="right"/>
    </xf>
    <xf numFmtId="165" fontId="2" fillId="0" borderId="3" xfId="3" applyNumberFormat="1" applyFont="1" applyBorder="1" applyAlignment="1" applyProtection="1">
      <alignment horizontal="center"/>
    </xf>
    <xf numFmtId="0" fontId="3" fillId="0" borderId="4" xfId="3" applyFont="1" applyBorder="1" applyProtection="1"/>
    <xf numFmtId="3" fontId="2" fillId="0" borderId="0" xfId="3" applyNumberFormat="1" applyFont="1" applyAlignment="1" applyProtection="1">
      <alignment horizontal="center"/>
    </xf>
    <xf numFmtId="3" fontId="3" fillId="0" borderId="0" xfId="3" applyNumberFormat="1" applyFont="1" applyAlignment="1" applyProtection="1">
      <alignment horizontal="center"/>
    </xf>
    <xf numFmtId="0" fontId="2" fillId="0" borderId="0" xfId="3" applyFont="1" applyAlignment="1" applyProtection="1">
      <alignment horizontal="right"/>
    </xf>
    <xf numFmtId="164" fontId="3" fillId="0" borderId="0" xfId="3" applyNumberFormat="1" applyFont="1" applyAlignment="1" applyProtection="1">
      <alignment horizontal="center"/>
    </xf>
    <xf numFmtId="10" fontId="3" fillId="0" borderId="0" xfId="2" applyNumberFormat="1" applyFont="1" applyFill="1" applyAlignment="1" applyProtection="1">
      <alignment horizontal="center"/>
    </xf>
    <xf numFmtId="2" fontId="3" fillId="3" borderId="0" xfId="3" applyNumberFormat="1" applyFont="1" applyFill="1" applyAlignment="1" applyProtection="1">
      <alignment horizontal="center"/>
      <protection locked="0"/>
    </xf>
    <xf numFmtId="0" fontId="3" fillId="0" borderId="0" xfId="3" applyFont="1" applyAlignment="1" applyProtection="1">
      <alignment horizontal="right" wrapText="1"/>
    </xf>
    <xf numFmtId="0" fontId="3" fillId="0" borderId="0" xfId="3" applyFont="1" applyFill="1" applyProtection="1"/>
    <xf numFmtId="0" fontId="12" fillId="2" borderId="26" xfId="0" applyFont="1" applyFill="1" applyBorder="1"/>
    <xf numFmtId="0" fontId="12" fillId="0" borderId="26" xfId="0" applyFont="1" applyFill="1" applyBorder="1"/>
    <xf numFmtId="0" fontId="12" fillId="0" borderId="15" xfId="0" applyFont="1" applyFill="1" applyBorder="1"/>
    <xf numFmtId="0" fontId="12" fillId="2" borderId="8" xfId="0" applyFont="1" applyFill="1" applyBorder="1"/>
    <xf numFmtId="0" fontId="3" fillId="0" borderId="0" xfId="3" applyFont="1" applyAlignment="1" applyProtection="1">
      <alignment horizontal="right"/>
    </xf>
    <xf numFmtId="0" fontId="7" fillId="0" borderId="0" xfId="3" applyFont="1" applyAlignment="1" applyProtection="1">
      <alignment horizontal="left"/>
    </xf>
    <xf numFmtId="2" fontId="12" fillId="0" borderId="10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/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0" fontId="3" fillId="0" borderId="4" xfId="0" applyFont="1" applyBorder="1"/>
    <xf numFmtId="167" fontId="2" fillId="0" borderId="0" xfId="0" applyNumberFormat="1" applyFont="1" applyAlignment="1">
      <alignment horizontal="center"/>
    </xf>
    <xf numFmtId="0" fontId="2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/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 wrapText="1"/>
    </xf>
    <xf numFmtId="16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center"/>
    </xf>
    <xf numFmtId="170" fontId="3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0" fontId="3" fillId="0" borderId="0" xfId="3" applyFont="1" applyBorder="1" applyProtection="1"/>
    <xf numFmtId="0" fontId="3" fillId="0" borderId="0" xfId="3" applyFont="1" applyBorder="1" applyAlignment="1" applyProtection="1">
      <alignment horizontal="right"/>
    </xf>
    <xf numFmtId="165" fontId="2" fillId="0" borderId="0" xfId="3" applyNumberFormat="1" applyFont="1" applyBorder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165" fontId="2" fillId="5" borderId="0" xfId="0" applyNumberFormat="1" applyFont="1" applyFill="1" applyAlignment="1">
      <alignment horizontal="center"/>
    </xf>
    <xf numFmtId="0" fontId="3" fillId="0" borderId="0" xfId="3" applyFont="1" applyFill="1" applyAlignment="1" applyProtection="1">
      <alignment horizontal="right"/>
    </xf>
    <xf numFmtId="0" fontId="3" fillId="0" borderId="0" xfId="3" applyFont="1" applyFill="1"/>
    <xf numFmtId="10" fontId="3" fillId="0" borderId="0" xfId="2" applyNumberFormat="1" applyFont="1" applyFill="1" applyAlignment="1" applyProtection="1">
      <alignment horizontal="center"/>
      <protection locked="0"/>
    </xf>
    <xf numFmtId="165" fontId="3" fillId="0" borderId="0" xfId="3" applyNumberFormat="1" applyFont="1" applyFill="1" applyAlignment="1" applyProtection="1">
      <alignment horizontal="center"/>
    </xf>
    <xf numFmtId="0" fontId="7" fillId="0" borderId="0" xfId="3" applyFont="1" applyFill="1" applyProtection="1"/>
    <xf numFmtId="0" fontId="1" fillId="0" borderId="0" xfId="3" applyFont="1" applyFill="1" applyProtection="1"/>
    <xf numFmtId="0" fontId="2" fillId="0" borderId="0" xfId="3" applyFont="1" applyFill="1" applyProtection="1"/>
    <xf numFmtId="165" fontId="2" fillId="0" borderId="0" xfId="3" applyNumberFormat="1" applyFont="1" applyFill="1" applyAlignment="1" applyProtection="1">
      <alignment horizontal="center"/>
    </xf>
    <xf numFmtId="168" fontId="3" fillId="0" borderId="0" xfId="3" applyNumberFormat="1" applyFont="1" applyFill="1" applyAlignment="1" applyProtection="1">
      <alignment horizontal="center"/>
    </xf>
    <xf numFmtId="2" fontId="3" fillId="0" borderId="0" xfId="3" applyNumberFormat="1" applyFont="1" applyAlignment="1" applyProtection="1">
      <alignment horizontal="center"/>
    </xf>
    <xf numFmtId="0" fontId="7" fillId="0" borderId="0" xfId="3" applyFont="1" applyAlignment="1" applyProtection="1">
      <alignment horizontal="center"/>
    </xf>
    <xf numFmtId="2" fontId="2" fillId="0" borderId="1" xfId="3" applyNumberFormat="1" applyFont="1" applyBorder="1" applyAlignment="1" applyProtection="1">
      <alignment horizontal="center"/>
    </xf>
    <xf numFmtId="2" fontId="2" fillId="0" borderId="0" xfId="3" applyNumberFormat="1" applyFont="1" applyBorder="1" applyAlignment="1" applyProtection="1">
      <alignment horizontal="center"/>
    </xf>
    <xf numFmtId="0" fontId="1" fillId="0" borderId="0" xfId="3" applyAlignment="1">
      <alignment horizontal="center"/>
    </xf>
    <xf numFmtId="1" fontId="2" fillId="0" borderId="0" xfId="3" applyNumberFormat="1" applyFont="1" applyFill="1" applyAlignment="1" applyProtection="1">
      <alignment horizontal="center"/>
    </xf>
    <xf numFmtId="3" fontId="2" fillId="0" borderId="0" xfId="1" applyNumberFormat="1" applyFont="1" applyFill="1" applyAlignment="1" applyProtection="1">
      <alignment horizontal="center"/>
    </xf>
    <xf numFmtId="1" fontId="3" fillId="0" borderId="0" xfId="3" applyNumberFormat="1" applyFont="1" applyFill="1" applyProtection="1"/>
    <xf numFmtId="0" fontId="3" fillId="0" borderId="2" xfId="3" applyFont="1" applyFill="1" applyBorder="1" applyProtection="1"/>
    <xf numFmtId="0" fontId="3" fillId="0" borderId="3" xfId="3" applyFont="1" applyFill="1" applyBorder="1" applyProtection="1"/>
    <xf numFmtId="0" fontId="3" fillId="0" borderId="3" xfId="3" applyFont="1" applyFill="1" applyBorder="1" applyAlignment="1" applyProtection="1">
      <alignment horizontal="right"/>
    </xf>
    <xf numFmtId="3" fontId="2" fillId="0" borderId="3" xfId="3" applyNumberFormat="1" applyFont="1" applyFill="1" applyBorder="1" applyAlignment="1" applyProtection="1">
      <alignment horizontal="center"/>
    </xf>
    <xf numFmtId="0" fontId="3" fillId="0" borderId="4" xfId="3" applyFont="1" applyFill="1" applyBorder="1" applyProtection="1"/>
    <xf numFmtId="2" fontId="3" fillId="0" borderId="0" xfId="0" applyNumberFormat="1" applyFont="1" applyAlignment="1" applyProtection="1">
      <alignment horizontal="center"/>
      <protection locked="0"/>
    </xf>
    <xf numFmtId="4" fontId="3" fillId="0" borderId="0" xfId="3" applyNumberFormat="1" applyFont="1" applyFill="1" applyAlignment="1" applyProtection="1">
      <alignment horizontal="center"/>
    </xf>
    <xf numFmtId="165" fontId="2" fillId="0" borderId="0" xfId="3" applyNumberFormat="1" applyFont="1" applyFill="1" applyAlignment="1">
      <alignment horizontal="center"/>
    </xf>
    <xf numFmtId="0" fontId="3" fillId="0" borderId="0" xfId="3" applyFont="1" applyAlignment="1" applyProtection="1"/>
    <xf numFmtId="0" fontId="3" fillId="3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Alignment="1">
      <alignment horizontal="center"/>
    </xf>
    <xf numFmtId="3" fontId="2" fillId="3" borderId="0" xfId="3" applyNumberFormat="1" applyFont="1" applyFill="1" applyAlignment="1">
      <alignment horizontal="center"/>
    </xf>
    <xf numFmtId="0" fontId="1" fillId="0" borderId="8" xfId="3" applyFont="1" applyBorder="1"/>
    <xf numFmtId="0" fontId="3" fillId="0" borderId="9" xfId="3" applyFont="1" applyBorder="1"/>
    <xf numFmtId="0" fontId="3" fillId="0" borderId="9" xfId="3" applyFont="1" applyBorder="1" applyAlignment="1">
      <alignment horizontal="right"/>
    </xf>
    <xf numFmtId="0" fontId="3" fillId="0" borderId="9" xfId="3" applyFont="1" applyBorder="1" applyAlignment="1">
      <alignment horizontal="center"/>
    </xf>
    <xf numFmtId="0" fontId="1" fillId="0" borderId="6" xfId="3" applyFont="1" applyBorder="1"/>
    <xf numFmtId="0" fontId="3" fillId="0" borderId="15" xfId="3" applyFont="1" applyBorder="1"/>
    <xf numFmtId="0" fontId="3" fillId="0" borderId="16" xfId="3" applyFont="1" applyBorder="1"/>
    <xf numFmtId="0" fontId="3" fillId="0" borderId="16" xfId="3" applyFont="1" applyBorder="1" applyAlignment="1">
      <alignment horizontal="right"/>
    </xf>
    <xf numFmtId="3" fontId="2" fillId="0" borderId="16" xfId="3" applyNumberFormat="1" applyFont="1" applyFill="1" applyBorder="1" applyAlignment="1">
      <alignment horizontal="center"/>
    </xf>
    <xf numFmtId="0" fontId="3" fillId="0" borderId="21" xfId="3" applyFont="1" applyBorder="1"/>
    <xf numFmtId="0" fontId="3" fillId="3" borderId="0" xfId="3" applyFont="1" applyFill="1" applyAlignment="1" applyProtection="1">
      <alignment horizontal="center"/>
    </xf>
    <xf numFmtId="0" fontId="25" fillId="0" borderId="0" xfId="0" applyFont="1" applyBorder="1"/>
    <xf numFmtId="1" fontId="3" fillId="0" borderId="0" xfId="3" applyNumberFormat="1" applyFont="1" applyAlignment="1">
      <alignment horizontal="center"/>
    </xf>
    <xf numFmtId="3" fontId="3" fillId="0" borderId="0" xfId="3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6" fillId="4" borderId="13" xfId="0" applyFont="1" applyFill="1" applyBorder="1" applyAlignment="1" applyProtection="1">
      <alignment horizontal="left"/>
      <protection locked="0"/>
    </xf>
    <xf numFmtId="0" fontId="26" fillId="0" borderId="0" xfId="0" applyFont="1"/>
    <xf numFmtId="0" fontId="6" fillId="0" borderId="0" xfId="0" applyFont="1"/>
    <xf numFmtId="2" fontId="6" fillId="0" borderId="0" xfId="0" applyNumberFormat="1" applyFont="1"/>
    <xf numFmtId="0" fontId="6" fillId="0" borderId="0" xfId="0" applyFont="1" applyAlignment="1">
      <alignment horizontal="left"/>
    </xf>
    <xf numFmtId="0" fontId="13" fillId="0" borderId="0" xfId="0" applyFont="1"/>
    <xf numFmtId="0" fontId="28" fillId="0" borderId="0" xfId="0" applyFont="1" applyBorder="1"/>
    <xf numFmtId="0" fontId="6" fillId="3" borderId="0" xfId="0" applyFont="1" applyFill="1"/>
    <xf numFmtId="0" fontId="28" fillId="0" borderId="0" xfId="0" applyFont="1" applyAlignment="1">
      <alignment horizontal="left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6" fillId="3" borderId="13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 applyProtection="1">
      <alignment horizontal="left"/>
      <protection locked="0"/>
    </xf>
    <xf numFmtId="14" fontId="6" fillId="4" borderId="7" xfId="0" applyNumberFormat="1" applyFont="1" applyFill="1" applyBorder="1" applyAlignment="1" applyProtection="1">
      <alignment horizontal="left"/>
      <protection locked="0"/>
    </xf>
    <xf numFmtId="22" fontId="6" fillId="4" borderId="7" xfId="0" applyNumberFormat="1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9" fontId="6" fillId="3" borderId="7" xfId="0" applyNumberFormat="1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0" borderId="0" xfId="0" quotePrefix="1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2" fillId="3" borderId="5" xfId="0" applyFont="1" applyFill="1" applyBorder="1" applyAlignment="1" applyProtection="1">
      <alignment horizontal="center" wrapText="1"/>
      <protection locked="0"/>
    </xf>
    <xf numFmtId="0" fontId="12" fillId="3" borderId="16" xfId="0" applyFont="1" applyFill="1" applyBorder="1" applyAlignment="1" applyProtection="1">
      <alignment horizontal="center" wrapText="1"/>
      <protection locked="0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2" fillId="3" borderId="2" xfId="0" applyFont="1" applyFill="1" applyBorder="1" applyAlignment="1" applyProtection="1">
      <alignment horizontal="left"/>
      <protection locked="0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3" borderId="25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3" borderId="22" xfId="0" applyFont="1" applyFill="1" applyBorder="1" applyAlignment="1" applyProtection="1">
      <alignment horizontal="center" wrapText="1"/>
      <protection locked="0"/>
    </xf>
    <xf numFmtId="169" fontId="2" fillId="3" borderId="13" xfId="0" applyNumberFormat="1" applyFont="1" applyFill="1" applyBorder="1" applyAlignment="1">
      <alignment horizontal="center"/>
    </xf>
    <xf numFmtId="169" fontId="2" fillId="3" borderId="7" xfId="0" applyNumberFormat="1" applyFont="1" applyFill="1" applyBorder="1" applyAlignment="1">
      <alignment horizontal="center"/>
    </xf>
    <xf numFmtId="0" fontId="7" fillId="0" borderId="0" xfId="3" applyFont="1" applyAlignment="1" applyProtection="1">
      <alignment horizontal="left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</cellXfs>
  <cellStyles count="7">
    <cellStyle name="Comma" xfId="1" builtinId="3"/>
    <cellStyle name="Comma 2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Percent" xfId="2" builtinId="5"/>
    <cellStyle name="Percent 2" xfId="6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FFFF99"/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2</xdr:row>
      <xdr:rowOff>66675</xdr:rowOff>
    </xdr:from>
    <xdr:to>
      <xdr:col>9</xdr:col>
      <xdr:colOff>432435</xdr:colOff>
      <xdr:row>2</xdr:row>
      <xdr:rowOff>66675</xdr:rowOff>
    </xdr:to>
    <xdr:sp macro="" textlink="">
      <xdr:nvSpPr>
        <xdr:cNvPr id="1110" name="Line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114425" y="447675"/>
          <a:ext cx="5394960" cy="0"/>
        </a:xfrm>
        <a:prstGeom prst="line">
          <a:avLst/>
        </a:prstGeom>
        <a:ln>
          <a:headEnd/>
          <a:tailEnd type="diamond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0</xdr:col>
      <xdr:colOff>485776</xdr:colOff>
      <xdr:row>47</xdr:row>
      <xdr:rowOff>85725</xdr:rowOff>
    </xdr:from>
    <xdr:to>
      <xdr:col>9</xdr:col>
      <xdr:colOff>361951</xdr:colOff>
      <xdr:row>47</xdr:row>
      <xdr:rowOff>85725</xdr:rowOff>
    </xdr:to>
    <xdr:sp macro="" textlink="">
      <xdr:nvSpPr>
        <xdr:cNvPr id="1111" name="Line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V="1">
          <a:off x="485776" y="9648825"/>
          <a:ext cx="5953125" cy="0"/>
        </a:xfrm>
        <a:prstGeom prst="line">
          <a:avLst/>
        </a:prstGeom>
        <a:ln>
          <a:solidFill>
            <a:schemeClr val="accent1"/>
          </a:solidFill>
          <a:headEnd type="diamond" w="med" len="med"/>
          <a:tailEnd type="diamond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1086247</xdr:colOff>
      <xdr:row>3</xdr:row>
      <xdr:rowOff>123825</xdr:rowOff>
    </xdr:to>
    <xdr:pic>
      <xdr:nvPicPr>
        <xdr:cNvPr id="6" name="Picture 5" descr="Bridgeport ... A Community Living and Growing Togeth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6200"/>
          <a:ext cx="1057672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1</xdr:col>
      <xdr:colOff>219074</xdr:colOff>
      <xdr:row>16</xdr:row>
      <xdr:rowOff>158750</xdr:rowOff>
    </xdr:to>
    <xdr:pic>
      <xdr:nvPicPr>
        <xdr:cNvPr id="2" name="Picture 1" descr="Bridgeport ... A Community Living and Growing Together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095625"/>
          <a:ext cx="1438275" cy="8096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33</xdr:row>
      <xdr:rowOff>0</xdr:rowOff>
    </xdr:from>
    <xdr:ext cx="1438275" cy="809625"/>
    <xdr:pic>
      <xdr:nvPicPr>
        <xdr:cNvPr id="3" name="Picture 2" descr="Bridgeport ... A Community Living and Growing Togethe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095625"/>
          <a:ext cx="1438275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47"/>
  <sheetViews>
    <sheetView view="pageLayout" topLeftCell="A16" zoomScale="80" zoomScaleNormal="100" zoomScaleSheetLayoutView="100" zoomScalePageLayoutView="80" workbookViewId="0">
      <selection activeCell="B35" sqref="B35"/>
    </sheetView>
  </sheetViews>
  <sheetFormatPr defaultColWidth="9.140625" defaultRowHeight="15" x14ac:dyDescent="0.25"/>
  <cols>
    <col min="1" max="1" width="18.28515625" style="4" customWidth="1"/>
    <col min="2" max="2" width="17" style="4" customWidth="1"/>
    <col min="3" max="3" width="2.7109375" style="4" customWidth="1"/>
    <col min="4" max="4" width="11.140625" style="4" customWidth="1"/>
    <col min="5" max="5" width="2.85546875" style="4" customWidth="1"/>
    <col min="6" max="6" width="3" style="4" customWidth="1"/>
    <col min="7" max="7" width="16.140625" style="4" customWidth="1"/>
    <col min="8" max="8" width="12.85546875" style="4" customWidth="1"/>
    <col min="9" max="9" width="2.5703125" style="4" bestFit="1" customWidth="1"/>
    <col min="10" max="10" width="9.140625" style="4"/>
    <col min="11" max="11" width="3" style="4" bestFit="1" customWidth="1"/>
    <col min="12" max="16384" width="9.140625" style="4"/>
  </cols>
  <sheetData>
    <row r="5" spans="1:9" ht="15.75" x14ac:dyDescent="0.25">
      <c r="A5" s="209" t="s">
        <v>158</v>
      </c>
      <c r="B5" s="217"/>
      <c r="C5" s="217"/>
      <c r="D5" s="217"/>
      <c r="E5" s="217"/>
      <c r="F5" s="217"/>
      <c r="G5" s="37"/>
      <c r="H5" s="5"/>
      <c r="I5" s="5"/>
    </row>
    <row r="6" spans="1:9" ht="15.75" x14ac:dyDescent="0.25">
      <c r="A6" s="209" t="s">
        <v>159</v>
      </c>
      <c r="B6" s="204"/>
      <c r="C6" s="204"/>
      <c r="D6" s="204"/>
      <c r="E6" s="204"/>
      <c r="F6" s="204"/>
      <c r="G6" s="37"/>
      <c r="H6" s="5"/>
      <c r="I6" s="5"/>
    </row>
    <row r="7" spans="1:9" ht="15.75" x14ac:dyDescent="0.25">
      <c r="A7" s="36" t="s">
        <v>1</v>
      </c>
      <c r="B7" s="218"/>
      <c r="C7" s="218"/>
      <c r="D7" s="218"/>
      <c r="E7" s="218"/>
      <c r="F7" s="218"/>
      <c r="G7" s="37"/>
      <c r="H7" s="5"/>
      <c r="I7" s="5"/>
    </row>
    <row r="8" spans="1:9" ht="15.75" x14ac:dyDescent="0.25">
      <c r="A8" s="36" t="s">
        <v>2</v>
      </c>
      <c r="B8" s="219"/>
      <c r="C8" s="219"/>
      <c r="D8" s="219"/>
      <c r="E8" s="219"/>
      <c r="F8" s="219"/>
      <c r="G8" s="37"/>
      <c r="H8" s="5"/>
      <c r="I8" s="5"/>
    </row>
    <row r="9" spans="1:9" ht="15.75" x14ac:dyDescent="0.25">
      <c r="A9" s="36"/>
      <c r="B9" s="6"/>
      <c r="C9" s="6"/>
      <c r="D9" s="6"/>
      <c r="E9" s="37"/>
      <c r="F9" s="37"/>
      <c r="G9" s="37"/>
      <c r="H9" s="5"/>
      <c r="I9" s="5"/>
    </row>
    <row r="10" spans="1:9" ht="15.75" x14ac:dyDescent="0.25">
      <c r="A10" s="36" t="s">
        <v>29</v>
      </c>
      <c r="B10" s="216"/>
      <c r="C10" s="216"/>
      <c r="D10" s="216"/>
      <c r="E10" s="37"/>
      <c r="F10" s="37"/>
      <c r="G10" s="37"/>
      <c r="H10" s="5"/>
      <c r="I10" s="5"/>
    </row>
    <row r="11" spans="1:9" ht="15.75" x14ac:dyDescent="0.25">
      <c r="A11" s="210" t="s">
        <v>161</v>
      </c>
      <c r="B11" s="220"/>
      <c r="C11" s="220"/>
      <c r="D11" s="220"/>
      <c r="E11" s="37"/>
      <c r="F11" s="37"/>
      <c r="G11" s="37"/>
      <c r="H11" s="5"/>
      <c r="I11" s="5"/>
    </row>
    <row r="12" spans="1:9" s="7" customFormat="1" ht="15.75" x14ac:dyDescent="0.25">
      <c r="A12" s="38"/>
      <c r="B12" s="6"/>
      <c r="C12" s="6"/>
      <c r="D12" s="6"/>
      <c r="E12" s="6"/>
      <c r="F12" s="6"/>
      <c r="G12" s="6"/>
      <c r="H12" s="39"/>
      <c r="I12" s="39"/>
    </row>
    <row r="13" spans="1:9" ht="15.75" x14ac:dyDescent="0.25">
      <c r="A13" s="40" t="s">
        <v>33</v>
      </c>
      <c r="B13" s="216"/>
      <c r="C13" s="216"/>
      <c r="D13" s="216"/>
      <c r="E13" s="37"/>
      <c r="F13" s="37"/>
      <c r="G13" s="37"/>
      <c r="H13" s="5"/>
      <c r="I13" s="5"/>
    </row>
    <row r="14" spans="1:9" ht="15.75" x14ac:dyDescent="0.25">
      <c r="A14" s="36" t="s">
        <v>34</v>
      </c>
      <c r="B14" s="216"/>
      <c r="C14" s="216"/>
      <c r="D14" s="216"/>
      <c r="E14" s="37"/>
      <c r="F14" s="37"/>
      <c r="G14" s="37"/>
      <c r="H14" s="5"/>
      <c r="I14" s="5"/>
    </row>
    <row r="15" spans="1:9" x14ac:dyDescent="0.25">
      <c r="A15" s="198" t="s">
        <v>53</v>
      </c>
      <c r="B15" s="37"/>
      <c r="C15" s="37"/>
      <c r="D15" s="37"/>
      <c r="E15" s="37"/>
      <c r="F15" s="37"/>
      <c r="G15" s="37"/>
      <c r="H15" s="5"/>
      <c r="I15" s="5"/>
    </row>
    <row r="16" spans="1:9" x14ac:dyDescent="0.25">
      <c r="A16" s="42"/>
      <c r="B16" s="37"/>
      <c r="C16" s="37"/>
      <c r="D16" s="37"/>
      <c r="E16" s="37"/>
      <c r="F16" s="37"/>
      <c r="G16" s="37"/>
      <c r="H16" s="5"/>
      <c r="I16" s="5"/>
    </row>
    <row r="17" spans="1:10" ht="15.75" x14ac:dyDescent="0.25">
      <c r="A17" s="36" t="s">
        <v>30</v>
      </c>
      <c r="B17" s="213"/>
      <c r="C17" s="213"/>
      <c r="D17" s="213"/>
      <c r="E17" s="213"/>
      <c r="F17" s="213"/>
      <c r="G17" s="213"/>
      <c r="H17" s="5"/>
      <c r="I17" s="5"/>
    </row>
    <row r="18" spans="1:10" ht="15.75" customHeight="1" x14ac:dyDescent="0.25">
      <c r="A18" s="215" t="s">
        <v>157</v>
      </c>
      <c r="B18" s="213"/>
      <c r="C18" s="213"/>
      <c r="D18" s="213"/>
      <c r="E18" s="213"/>
      <c r="F18" s="213"/>
      <c r="G18" s="213"/>
      <c r="H18" s="5"/>
      <c r="I18" s="5"/>
    </row>
    <row r="19" spans="1:10" ht="15.75" customHeight="1" x14ac:dyDescent="0.25">
      <c r="A19" s="215"/>
      <c r="B19" s="213"/>
      <c r="C19" s="213"/>
      <c r="D19" s="213"/>
      <c r="E19" s="213"/>
      <c r="F19" s="213"/>
      <c r="G19" s="213"/>
      <c r="H19" s="5"/>
      <c r="I19" s="5"/>
    </row>
    <row r="20" spans="1:10" ht="15.75" x14ac:dyDescent="0.25">
      <c r="A20" s="36"/>
      <c r="B20" s="5"/>
      <c r="C20" s="5"/>
      <c r="D20" s="5"/>
      <c r="E20" s="5"/>
      <c r="F20" s="5"/>
      <c r="G20" s="5"/>
      <c r="H20" s="5"/>
      <c r="I20" s="5"/>
    </row>
    <row r="21" spans="1:10" ht="15.75" x14ac:dyDescent="0.25">
      <c r="A21" s="36" t="s">
        <v>31</v>
      </c>
      <c r="B21" s="5"/>
      <c r="C21" s="5"/>
      <c r="D21" s="5"/>
      <c r="E21" s="5"/>
      <c r="F21" s="5"/>
      <c r="G21" s="5"/>
      <c r="H21" s="5"/>
      <c r="I21" s="5"/>
    </row>
    <row r="22" spans="1:10" ht="15.75" x14ac:dyDescent="0.25">
      <c r="A22" s="41"/>
      <c r="B22" s="9" t="s">
        <v>17</v>
      </c>
      <c r="C22" s="5"/>
      <c r="D22" s="223" t="s">
        <v>43</v>
      </c>
      <c r="E22" s="223"/>
      <c r="F22" s="223"/>
      <c r="G22" s="223"/>
      <c r="H22" s="5"/>
      <c r="I22" s="5"/>
    </row>
    <row r="23" spans="1:10" ht="15.75" x14ac:dyDescent="0.25">
      <c r="A23" s="41"/>
      <c r="B23" s="9" t="s">
        <v>18</v>
      </c>
      <c r="C23" s="5"/>
      <c r="D23" s="222" t="s">
        <v>52</v>
      </c>
      <c r="E23" s="222"/>
      <c r="F23" s="222"/>
      <c r="G23" s="222"/>
      <c r="H23" s="5"/>
      <c r="I23" s="5"/>
    </row>
    <row r="24" spans="1:10" ht="15.75" x14ac:dyDescent="0.25">
      <c r="A24" s="41"/>
      <c r="B24" s="9" t="s">
        <v>35</v>
      </c>
      <c r="C24" s="5"/>
      <c r="D24" s="220"/>
      <c r="E24" s="220"/>
      <c r="F24" s="220"/>
      <c r="G24" s="220"/>
      <c r="H24" s="5"/>
      <c r="I24" s="5"/>
    </row>
    <row r="25" spans="1:10" ht="15.75" x14ac:dyDescent="0.25">
      <c r="A25" s="41"/>
      <c r="B25" s="9" t="s">
        <v>19</v>
      </c>
      <c r="C25" s="5"/>
      <c r="D25" s="220"/>
      <c r="E25" s="220"/>
      <c r="F25" s="220"/>
      <c r="G25" s="220"/>
      <c r="H25" s="5"/>
      <c r="I25" s="5"/>
    </row>
    <row r="26" spans="1:10" ht="15.75" x14ac:dyDescent="0.25">
      <c r="A26" s="41"/>
      <c r="B26" s="9" t="s">
        <v>20</v>
      </c>
      <c r="C26" s="5"/>
      <c r="D26" s="220"/>
      <c r="E26" s="220"/>
      <c r="F26" s="220"/>
      <c r="G26" s="220"/>
      <c r="H26" s="5"/>
      <c r="I26" s="5"/>
    </row>
    <row r="27" spans="1:10" ht="15.75" x14ac:dyDescent="0.25">
      <c r="A27" s="41"/>
      <c r="B27" s="9" t="s">
        <v>21</v>
      </c>
      <c r="C27" s="5"/>
      <c r="D27" s="221">
        <v>0</v>
      </c>
      <c r="E27" s="220"/>
      <c r="F27" s="220"/>
      <c r="G27" s="220"/>
      <c r="H27" s="5"/>
      <c r="I27" s="5"/>
    </row>
    <row r="28" spans="1:10" x14ac:dyDescent="0.25">
      <c r="A28" s="41"/>
      <c r="B28" s="5"/>
      <c r="C28" s="5"/>
      <c r="D28" s="5"/>
      <c r="E28" s="5"/>
      <c r="F28" s="5"/>
      <c r="G28" s="5"/>
      <c r="H28" s="5"/>
      <c r="I28" s="5"/>
    </row>
    <row r="29" spans="1:10" ht="15.75" customHeight="1" x14ac:dyDescent="0.25">
      <c r="A29" s="36" t="s">
        <v>32</v>
      </c>
      <c r="B29" s="213" t="s">
        <v>160</v>
      </c>
      <c r="C29" s="213"/>
      <c r="D29" s="213"/>
      <c r="E29" s="213"/>
      <c r="F29" s="213"/>
      <c r="G29" s="213"/>
      <c r="H29" s="213"/>
      <c r="I29" s="213"/>
      <c r="J29" s="213"/>
    </row>
    <row r="30" spans="1:10" ht="15.75" x14ac:dyDescent="0.25">
      <c r="A30" s="36"/>
      <c r="B30" s="213"/>
      <c r="C30" s="213"/>
      <c r="D30" s="213"/>
      <c r="E30" s="213"/>
      <c r="F30" s="213"/>
      <c r="G30" s="213"/>
      <c r="H30" s="213"/>
      <c r="I30" s="213"/>
      <c r="J30" s="213"/>
    </row>
    <row r="31" spans="1:10" ht="15.75" x14ac:dyDescent="0.25">
      <c r="A31" s="36"/>
      <c r="B31" s="5"/>
      <c r="C31" s="5"/>
      <c r="D31" s="5"/>
      <c r="E31" s="5"/>
      <c r="F31" s="5"/>
      <c r="G31" s="5"/>
      <c r="H31" s="5"/>
      <c r="I31" s="5"/>
    </row>
    <row r="32" spans="1:10" ht="15.75" x14ac:dyDescent="0.25">
      <c r="A32" s="40" t="s">
        <v>91</v>
      </c>
      <c r="B32" s="5"/>
      <c r="C32" s="5"/>
      <c r="D32" s="39"/>
      <c r="E32" s="5"/>
      <c r="F32" s="5"/>
      <c r="G32" s="5"/>
      <c r="H32" s="5"/>
      <c r="I32" s="5"/>
    </row>
    <row r="33" spans="1:11" x14ac:dyDescent="0.25">
      <c r="A33" s="214" t="s">
        <v>155</v>
      </c>
      <c r="B33" s="214"/>
      <c r="C33" s="214"/>
      <c r="D33" s="214"/>
      <c r="E33" s="214"/>
      <c r="F33" s="206"/>
      <c r="G33" s="214" t="s">
        <v>156</v>
      </c>
      <c r="H33" s="214"/>
      <c r="I33" s="214"/>
      <c r="J33" s="214"/>
      <c r="K33" s="214"/>
    </row>
    <row r="34" spans="1:11" x14ac:dyDescent="0.25">
      <c r="A34" s="208" t="s">
        <v>22</v>
      </c>
      <c r="B34" s="211"/>
      <c r="C34" s="206" t="s">
        <v>27</v>
      </c>
      <c r="D34" s="207">
        <f>B34/43560</f>
        <v>0</v>
      </c>
      <c r="E34" s="206" t="s">
        <v>154</v>
      </c>
      <c r="F34" s="206"/>
      <c r="G34" s="208" t="s">
        <v>22</v>
      </c>
      <c r="H34" s="211"/>
      <c r="I34" s="206" t="s">
        <v>27</v>
      </c>
      <c r="J34" s="207">
        <f>H34/43560</f>
        <v>0</v>
      </c>
      <c r="K34" s="206" t="s">
        <v>154</v>
      </c>
    </row>
    <row r="35" spans="1:11" x14ac:dyDescent="0.25">
      <c r="A35" s="208" t="s">
        <v>23</v>
      </c>
      <c r="B35" s="211"/>
      <c r="C35" s="206" t="s">
        <v>27</v>
      </c>
      <c r="D35" s="207">
        <f>B35/43560</f>
        <v>0</v>
      </c>
      <c r="E35" s="206" t="s">
        <v>154</v>
      </c>
      <c r="F35" s="206"/>
      <c r="G35" s="208" t="s">
        <v>23</v>
      </c>
      <c r="H35" s="211"/>
      <c r="I35" s="206" t="s">
        <v>27</v>
      </c>
      <c r="J35" s="207">
        <f>H35/43560</f>
        <v>0</v>
      </c>
      <c r="K35" s="206" t="s">
        <v>154</v>
      </c>
    </row>
    <row r="36" spans="1:11" x14ac:dyDescent="0.25">
      <c r="A36" s="208" t="s">
        <v>24</v>
      </c>
      <c r="B36" s="211"/>
      <c r="C36" s="206" t="s">
        <v>27</v>
      </c>
      <c r="D36" s="207">
        <f>B36/43560</f>
        <v>0</v>
      </c>
      <c r="E36" s="206" t="s">
        <v>154</v>
      </c>
      <c r="F36" s="206"/>
      <c r="G36" s="208" t="s">
        <v>24</v>
      </c>
      <c r="H36" s="211"/>
      <c r="I36" s="206" t="s">
        <v>27</v>
      </c>
      <c r="J36" s="207">
        <f>H36/43560</f>
        <v>0</v>
      </c>
      <c r="K36" s="206" t="s">
        <v>154</v>
      </c>
    </row>
    <row r="37" spans="1:11" x14ac:dyDescent="0.25">
      <c r="A37" s="208" t="s">
        <v>25</v>
      </c>
      <c r="B37" s="211"/>
      <c r="C37" s="206" t="s">
        <v>27</v>
      </c>
      <c r="D37" s="207">
        <f>B37/43560</f>
        <v>0</v>
      </c>
      <c r="E37" s="206" t="s">
        <v>154</v>
      </c>
      <c r="F37" s="206"/>
      <c r="G37" s="208" t="s">
        <v>25</v>
      </c>
      <c r="H37" s="211"/>
      <c r="I37" s="206" t="s">
        <v>27</v>
      </c>
      <c r="J37" s="207">
        <f>H37/43560</f>
        <v>0</v>
      </c>
      <c r="K37" s="206" t="s">
        <v>154</v>
      </c>
    </row>
    <row r="38" spans="1:11" x14ac:dyDescent="0.25">
      <c r="A38" s="208" t="s">
        <v>26</v>
      </c>
      <c r="B38" s="211"/>
      <c r="C38" s="206" t="s">
        <v>27</v>
      </c>
      <c r="D38" s="207">
        <f>B38/43560</f>
        <v>0</v>
      </c>
      <c r="E38" s="206" t="s">
        <v>154</v>
      </c>
      <c r="F38" s="206"/>
      <c r="G38" s="208" t="s">
        <v>26</v>
      </c>
      <c r="H38" s="211"/>
      <c r="I38" s="206" t="s">
        <v>27</v>
      </c>
      <c r="J38" s="207">
        <f>H38/43560</f>
        <v>0</v>
      </c>
      <c r="K38" s="206" t="s">
        <v>154</v>
      </c>
    </row>
    <row r="39" spans="1:11" ht="15.75" x14ac:dyDescent="0.25">
      <c r="A39" s="36"/>
      <c r="B39" s="5"/>
      <c r="C39" s="5"/>
      <c r="D39" s="5"/>
      <c r="E39" s="5"/>
      <c r="F39" s="5"/>
      <c r="G39" s="5"/>
      <c r="H39" s="5"/>
      <c r="I39" s="5"/>
    </row>
    <row r="40" spans="1:11" ht="15.75" x14ac:dyDescent="0.25">
      <c r="A40" s="36" t="s">
        <v>90</v>
      </c>
      <c r="B40" s="5"/>
      <c r="C40" s="5"/>
      <c r="D40" s="5"/>
      <c r="E40" s="5"/>
      <c r="F40" s="5"/>
      <c r="G40" s="5"/>
      <c r="H40" s="5"/>
      <c r="I40" s="5"/>
    </row>
    <row r="41" spans="1:11" ht="15.75" x14ac:dyDescent="0.25">
      <c r="A41" s="212" t="s">
        <v>139</v>
      </c>
      <c r="B41" s="212"/>
      <c r="C41" s="212"/>
      <c r="D41" s="212"/>
      <c r="E41" s="212"/>
      <c r="F41" s="212"/>
      <c r="G41" s="212"/>
      <c r="H41" s="212"/>
      <c r="I41" s="212"/>
    </row>
    <row r="42" spans="1:11" ht="15.75" x14ac:dyDescent="0.25">
      <c r="A42" s="36"/>
      <c r="B42" s="213"/>
      <c r="C42" s="213"/>
      <c r="D42" s="213"/>
      <c r="E42" s="213"/>
      <c r="F42" s="213"/>
      <c r="G42" s="213"/>
      <c r="H42" s="213"/>
      <c r="I42" s="213"/>
      <c r="J42" s="213"/>
    </row>
    <row r="43" spans="1:11" ht="15.75" x14ac:dyDescent="0.25">
      <c r="A43" s="36"/>
      <c r="B43" s="213"/>
      <c r="C43" s="213"/>
      <c r="D43" s="213"/>
      <c r="E43" s="213"/>
      <c r="F43" s="213"/>
      <c r="G43" s="213"/>
      <c r="H43" s="213"/>
      <c r="I43" s="213"/>
      <c r="J43" s="213"/>
    </row>
    <row r="44" spans="1:11" ht="15.75" x14ac:dyDescent="0.25">
      <c r="A44" s="36"/>
      <c r="B44" s="213"/>
      <c r="C44" s="213"/>
      <c r="D44" s="213"/>
      <c r="E44" s="213"/>
      <c r="F44" s="213"/>
      <c r="G44" s="213"/>
      <c r="H44" s="213"/>
      <c r="I44" s="213"/>
      <c r="J44" s="213"/>
    </row>
    <row r="45" spans="1:11" ht="15.75" x14ac:dyDescent="0.25">
      <c r="A45" s="36"/>
      <c r="B45" s="213"/>
      <c r="C45" s="213"/>
      <c r="D45" s="213"/>
      <c r="E45" s="213"/>
      <c r="F45" s="213"/>
      <c r="G45" s="213"/>
      <c r="H45" s="213"/>
      <c r="I45" s="213"/>
      <c r="J45" s="213"/>
    </row>
    <row r="46" spans="1:11" x14ac:dyDescent="0.25">
      <c r="A46" s="5"/>
      <c r="B46" s="213"/>
      <c r="C46" s="213"/>
      <c r="D46" s="213"/>
      <c r="E46" s="213"/>
      <c r="F46" s="213"/>
      <c r="G46" s="213"/>
      <c r="H46" s="213"/>
      <c r="I46" s="213"/>
      <c r="J46" s="213"/>
    </row>
    <row r="47" spans="1:11" x14ac:dyDescent="0.25">
      <c r="B47" s="213"/>
      <c r="C47" s="213"/>
      <c r="D47" s="213"/>
      <c r="E47" s="213"/>
      <c r="F47" s="213"/>
      <c r="G47" s="213"/>
      <c r="H47" s="213"/>
      <c r="I47" s="213"/>
      <c r="J47" s="213"/>
    </row>
  </sheetData>
  <sheetProtection selectLockedCells="1"/>
  <mergeCells count="20">
    <mergeCell ref="B42:J47"/>
    <mergeCell ref="B10:D10"/>
    <mergeCell ref="B5:F5"/>
    <mergeCell ref="B7:F7"/>
    <mergeCell ref="B8:F8"/>
    <mergeCell ref="B11:D11"/>
    <mergeCell ref="B13:D13"/>
    <mergeCell ref="D26:G26"/>
    <mergeCell ref="D27:G27"/>
    <mergeCell ref="D23:G23"/>
    <mergeCell ref="D24:G24"/>
    <mergeCell ref="D25:G25"/>
    <mergeCell ref="B14:D14"/>
    <mergeCell ref="D22:G22"/>
    <mergeCell ref="A41:I41"/>
    <mergeCell ref="B17:G19"/>
    <mergeCell ref="A33:E33"/>
    <mergeCell ref="G33:K33"/>
    <mergeCell ref="A18:A19"/>
    <mergeCell ref="B29:J30"/>
  </mergeCells>
  <phoneticPr fontId="0" type="noConversion"/>
  <pageMargins left="0.7" right="0.7" top="0.75" bottom="0.75" header="0.3" footer="0.3"/>
  <pageSetup scale="93" orientation="portrait" r:id="rId1"/>
  <headerFooter alignWithMargins="0">
    <oddHeader xml:space="preserve">&amp;L&amp;"Times New Roman,Regular"&amp;12Bridgeport Charter Township
Design Standards&amp;R&amp;"Times New Roman,Bold Italic"&amp;12&amp;A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view="pageLayout" topLeftCell="A4" zoomScale="90" zoomScaleNormal="100" zoomScaleSheetLayoutView="100" zoomScalePageLayoutView="90" workbookViewId="0">
      <selection activeCell="E31" sqref="E31"/>
    </sheetView>
  </sheetViews>
  <sheetFormatPr defaultRowHeight="12.75" x14ac:dyDescent="0.2"/>
  <cols>
    <col min="1" max="1" width="18.28515625" style="1" customWidth="1"/>
    <col min="2" max="2" width="20" style="1" customWidth="1"/>
    <col min="3" max="3" width="24.7109375" style="1" customWidth="1"/>
    <col min="4" max="4" width="12.140625" style="1" customWidth="1"/>
    <col min="5" max="5" width="14" style="1" customWidth="1"/>
    <col min="6" max="6" width="16.85546875" style="1" customWidth="1"/>
    <col min="7" max="7" width="10.7109375" style="1" customWidth="1"/>
    <col min="8" max="8" width="9.140625" style="1" customWidth="1"/>
    <col min="9" max="9" width="0.85546875" style="1" customWidth="1"/>
    <col min="10" max="11" width="9.140625" style="1"/>
    <col min="12" max="12" width="17.28515625" style="1" customWidth="1"/>
    <col min="13" max="13" width="9.140625" style="1"/>
    <col min="14" max="14" width="5" style="1" bestFit="1" customWidth="1"/>
    <col min="15" max="18" width="9.140625" style="1"/>
  </cols>
  <sheetData>
    <row r="1" spans="1:18" ht="16.5" thickBot="1" x14ac:dyDescent="0.3">
      <c r="A1" s="225" t="s">
        <v>54</v>
      </c>
      <c r="B1" s="226"/>
      <c r="C1" s="226"/>
      <c r="D1" s="226"/>
      <c r="E1" s="226"/>
      <c r="F1" s="227"/>
    </row>
    <row r="2" spans="1:18" ht="15.75" x14ac:dyDescent="0.25">
      <c r="A2" s="50" t="s">
        <v>36</v>
      </c>
      <c r="B2" s="228"/>
      <c r="C2" s="228"/>
      <c r="D2" s="46"/>
      <c r="E2" s="52" t="s">
        <v>37</v>
      </c>
      <c r="F2" s="8">
        <f ca="1">NOW()</f>
        <v>43935.569027893522</v>
      </c>
      <c r="L2" s="22"/>
      <c r="M2" s="25"/>
    </row>
    <row r="3" spans="1:18" ht="16.5" thickBot="1" x14ac:dyDescent="0.3">
      <c r="A3" s="51" t="s">
        <v>38</v>
      </c>
      <c r="B3" s="229"/>
      <c r="C3" s="229"/>
      <c r="D3" s="47"/>
      <c r="E3" s="48"/>
      <c r="F3" s="49"/>
      <c r="N3" s="23"/>
      <c r="Q3" s="23"/>
    </row>
    <row r="4" spans="1:18" ht="16.5" thickBot="1" x14ac:dyDescent="0.3">
      <c r="A4" s="114"/>
      <c r="B4" s="43"/>
      <c r="C4" s="43"/>
      <c r="D4" s="43"/>
      <c r="E4" s="43"/>
      <c r="F4" s="44"/>
      <c r="N4" s="23"/>
      <c r="P4" s="2"/>
    </row>
    <row r="5" spans="1:18" ht="16.5" thickBot="1" x14ac:dyDescent="0.3">
      <c r="A5" s="230"/>
      <c r="B5" s="231"/>
      <c r="C5" s="232"/>
      <c r="D5" s="32" t="s">
        <v>39</v>
      </c>
      <c r="E5" s="31" t="s">
        <v>40</v>
      </c>
      <c r="F5" s="33" t="s">
        <v>48</v>
      </c>
      <c r="H5" s="25"/>
      <c r="J5" s="25"/>
      <c r="P5" s="2"/>
      <c r="Q5" s="24"/>
      <c r="R5" s="2"/>
    </row>
    <row r="6" spans="1:18" ht="16.5" thickBot="1" x14ac:dyDescent="0.3">
      <c r="A6" s="233" t="s">
        <v>85</v>
      </c>
      <c r="B6" s="234"/>
      <c r="C6" s="235"/>
      <c r="D6" s="120">
        <f>IF(A6="",0,IF(A6="Impervious Area (Pavements/Roofs/Buildings)",0.9,IF(A6="Water",1,IF(A6="Park/Playground/Cemetery Area",0.3,IF(A6="Lawn Area",0.17,IF(A6="Woodland Area",0.45,IF(A6="Pasture Area",0.4,IF(A6="Cultivated Area",0.6))))))))</f>
        <v>0.9</v>
      </c>
      <c r="E6" s="84">
        <v>0</v>
      </c>
      <c r="F6" s="34">
        <f>D6*E6</f>
        <v>0</v>
      </c>
      <c r="I6" s="1">
        <f>IF(D6=0.9,E6,0)</f>
        <v>0</v>
      </c>
      <c r="L6" s="22"/>
      <c r="M6" s="25"/>
    </row>
    <row r="7" spans="1:18" ht="16.5" thickBot="1" x14ac:dyDescent="0.3">
      <c r="A7" s="233" t="s">
        <v>45</v>
      </c>
      <c r="B7" s="234"/>
      <c r="C7" s="235"/>
      <c r="D7" s="120">
        <f t="shared" ref="D7:D12" si="0">IF(A7="",0,IF(A7="Impervious Area (Pavements/Roofs/Buildings)",0.9,IF(A7="Water",1,IF(A7="Park/Playground/Cemetery Area",0.3,IF(A7="Lawn Area",0.17,IF(A7="Woodland Area",0.45,IF(A7="Pasture Area",0.4,IF(A7="Cultivated Area",0.6))))))))</f>
        <v>1</v>
      </c>
      <c r="E7" s="85">
        <v>0</v>
      </c>
      <c r="F7" s="26">
        <f t="shared" ref="F7:F8" si="1">D7*E7</f>
        <v>0</v>
      </c>
      <c r="I7" s="1">
        <f t="shared" ref="I7:I12" si="2">IF(D7=0.9,E7,0)</f>
        <v>0</v>
      </c>
      <c r="L7" s="22"/>
      <c r="M7" s="25"/>
    </row>
    <row r="8" spans="1:18" ht="16.5" thickBot="1" x14ac:dyDescent="0.3">
      <c r="A8" s="233" t="s">
        <v>86</v>
      </c>
      <c r="B8" s="234"/>
      <c r="C8" s="235"/>
      <c r="D8" s="120">
        <f t="shared" si="0"/>
        <v>0.3</v>
      </c>
      <c r="E8" s="85">
        <v>0</v>
      </c>
      <c r="F8" s="26">
        <f t="shared" si="1"/>
        <v>0</v>
      </c>
      <c r="I8" s="1">
        <f t="shared" si="2"/>
        <v>0</v>
      </c>
      <c r="L8" s="22"/>
      <c r="M8" s="25"/>
    </row>
    <row r="9" spans="1:18" ht="16.5" thickBot="1" x14ac:dyDescent="0.3">
      <c r="A9" s="233" t="s">
        <v>44</v>
      </c>
      <c r="B9" s="234"/>
      <c r="C9" s="235"/>
      <c r="D9" s="120">
        <f t="shared" si="0"/>
        <v>0.17</v>
      </c>
      <c r="E9" s="85">
        <v>0</v>
      </c>
      <c r="F9" s="27">
        <f t="shared" ref="F9:F12" si="3">D9*E9</f>
        <v>0</v>
      </c>
      <c r="I9" s="1">
        <f t="shared" si="2"/>
        <v>0</v>
      </c>
      <c r="P9" s="2"/>
    </row>
    <row r="10" spans="1:18" ht="16.5" thickBot="1" x14ac:dyDescent="0.3">
      <c r="A10" s="233" t="s">
        <v>87</v>
      </c>
      <c r="B10" s="234"/>
      <c r="C10" s="235"/>
      <c r="D10" s="120">
        <f t="shared" si="0"/>
        <v>0.45</v>
      </c>
      <c r="E10" s="86">
        <v>0</v>
      </c>
      <c r="F10" s="27">
        <f t="shared" si="3"/>
        <v>0</v>
      </c>
      <c r="I10" s="1">
        <f t="shared" si="2"/>
        <v>0</v>
      </c>
      <c r="P10" s="2"/>
      <c r="Q10" s="24"/>
      <c r="R10" s="2"/>
    </row>
    <row r="11" spans="1:18" ht="16.5" thickBot="1" x14ac:dyDescent="0.3">
      <c r="A11" s="233" t="s">
        <v>88</v>
      </c>
      <c r="B11" s="234"/>
      <c r="C11" s="235"/>
      <c r="D11" s="120">
        <f t="shared" si="0"/>
        <v>0.4</v>
      </c>
      <c r="E11" s="85">
        <v>0</v>
      </c>
      <c r="F11" s="27">
        <f t="shared" si="3"/>
        <v>0</v>
      </c>
      <c r="I11" s="1">
        <f t="shared" si="2"/>
        <v>0</v>
      </c>
      <c r="L11" s="224"/>
      <c r="M11" s="224"/>
    </row>
    <row r="12" spans="1:18" ht="16.5" thickBot="1" x14ac:dyDescent="0.3">
      <c r="A12" s="233" t="s">
        <v>89</v>
      </c>
      <c r="B12" s="234"/>
      <c r="C12" s="235"/>
      <c r="D12" s="121">
        <f t="shared" si="0"/>
        <v>0.6</v>
      </c>
      <c r="E12" s="87">
        <v>0</v>
      </c>
      <c r="F12" s="35">
        <f t="shared" si="3"/>
        <v>0</v>
      </c>
      <c r="I12" s="1">
        <f t="shared" si="2"/>
        <v>0</v>
      </c>
    </row>
    <row r="13" spans="1:18" ht="16.5" thickBot="1" x14ac:dyDescent="0.3">
      <c r="A13" s="115"/>
      <c r="B13" s="12"/>
      <c r="C13" s="12"/>
      <c r="D13" s="123" t="s">
        <v>41</v>
      </c>
      <c r="E13" s="28">
        <f>SUM(E6:E12)</f>
        <v>0</v>
      </c>
      <c r="F13" s="29">
        <f>SUM(F6:F12)</f>
        <v>0</v>
      </c>
      <c r="I13" s="1">
        <f>SUM(I6:I12)</f>
        <v>0</v>
      </c>
      <c r="N13" s="23"/>
      <c r="P13" s="2"/>
      <c r="Q13" s="24"/>
      <c r="R13" s="2"/>
    </row>
    <row r="14" spans="1:18" ht="16.5" thickBot="1" x14ac:dyDescent="0.3">
      <c r="A14" s="115"/>
      <c r="B14" s="12"/>
      <c r="C14" s="12"/>
      <c r="D14" s="16"/>
      <c r="E14" s="9"/>
      <c r="F14" s="17"/>
    </row>
    <row r="15" spans="1:18" ht="19.5" thickBot="1" x14ac:dyDescent="0.4">
      <c r="A15" s="115"/>
      <c r="B15" s="12"/>
      <c r="C15" s="13" t="s">
        <v>92</v>
      </c>
      <c r="D15" s="30" t="e">
        <f>F13/E13</f>
        <v>#DIV/0!</v>
      </c>
      <c r="E15" s="15"/>
      <c r="F15" s="17"/>
    </row>
    <row r="16" spans="1:18" ht="15.75" x14ac:dyDescent="0.25">
      <c r="A16" s="115"/>
      <c r="B16" s="12"/>
      <c r="C16" s="12"/>
      <c r="D16" s="15"/>
      <c r="E16" s="15"/>
      <c r="F16" s="17"/>
    </row>
    <row r="17" spans="1:18" ht="15.75" x14ac:dyDescent="0.25">
      <c r="A17" s="115"/>
      <c r="B17" s="12"/>
      <c r="C17" s="12"/>
      <c r="D17" s="18"/>
      <c r="E17" s="18"/>
      <c r="F17" s="17"/>
    </row>
    <row r="18" spans="1:18" ht="16.5" thickBot="1" x14ac:dyDescent="0.3">
      <c r="A18" s="116"/>
      <c r="B18" s="19"/>
      <c r="C18" s="19"/>
      <c r="D18" s="20"/>
      <c r="E18" s="20"/>
      <c r="F18" s="21"/>
    </row>
    <row r="19" spans="1:18" ht="15.75" x14ac:dyDescent="0.25">
      <c r="A19" s="12"/>
      <c r="B19" s="12"/>
      <c r="C19" s="12"/>
      <c r="D19" s="15"/>
      <c r="E19" s="15"/>
      <c r="F19" s="12"/>
    </row>
    <row r="20" spans="1:18" ht="16.5" customHeight="1" thickBot="1" x14ac:dyDescent="0.3">
      <c r="A20" s="122"/>
      <c r="B20" s="122"/>
      <c r="C20" s="122"/>
      <c r="D20" s="122"/>
      <c r="E20" s="122"/>
      <c r="F20" s="122"/>
    </row>
    <row r="21" spans="1:18" ht="16.5" customHeight="1" thickBot="1" x14ac:dyDescent="0.3">
      <c r="A21" s="225" t="s">
        <v>55</v>
      </c>
      <c r="B21" s="226"/>
      <c r="C21" s="226"/>
      <c r="D21" s="226"/>
      <c r="E21" s="226"/>
      <c r="F21" s="227"/>
    </row>
    <row r="22" spans="1:18" ht="15.75" x14ac:dyDescent="0.25">
      <c r="A22" s="50" t="s">
        <v>36</v>
      </c>
      <c r="B22" s="228"/>
      <c r="C22" s="228"/>
      <c r="D22" s="46"/>
      <c r="E22" s="52" t="s">
        <v>37</v>
      </c>
      <c r="F22" s="8">
        <f ca="1">NOW()</f>
        <v>43935.569027893522</v>
      </c>
      <c r="L22" s="22"/>
      <c r="M22" s="25"/>
    </row>
    <row r="23" spans="1:18" ht="16.5" thickBot="1" x14ac:dyDescent="0.3">
      <c r="A23" s="51" t="s">
        <v>38</v>
      </c>
      <c r="B23" s="238"/>
      <c r="C23" s="238"/>
      <c r="D23" s="47"/>
      <c r="E23" s="48"/>
      <c r="F23" s="49"/>
      <c r="N23" s="23"/>
      <c r="Q23" s="23"/>
    </row>
    <row r="24" spans="1:18" ht="16.5" thickBot="1" x14ac:dyDescent="0.3">
      <c r="A24" s="117"/>
      <c r="B24" s="10"/>
      <c r="C24" s="10"/>
      <c r="D24" s="10"/>
      <c r="E24" s="10"/>
      <c r="F24" s="11"/>
      <c r="N24" s="23"/>
      <c r="P24" s="2"/>
    </row>
    <row r="25" spans="1:18" ht="16.5" thickBot="1" x14ac:dyDescent="0.3">
      <c r="A25" s="230"/>
      <c r="B25" s="231"/>
      <c r="C25" s="232"/>
      <c r="D25" s="32" t="s">
        <v>39</v>
      </c>
      <c r="E25" s="31" t="s">
        <v>40</v>
      </c>
      <c r="F25" s="33" t="s">
        <v>48</v>
      </c>
      <c r="H25" s="25"/>
      <c r="J25" s="25"/>
      <c r="P25" s="2"/>
      <c r="Q25" s="24"/>
      <c r="R25" s="2"/>
    </row>
    <row r="26" spans="1:18" ht="16.5" thickBot="1" x14ac:dyDescent="0.3">
      <c r="A26" s="233" t="s">
        <v>85</v>
      </c>
      <c r="B26" s="234"/>
      <c r="C26" s="235"/>
      <c r="D26" s="120">
        <f t="shared" ref="D26:D32" si="4">IF(A26="",0,IF(A26="Impervious Area (Pavements/Roofs/Buildings)",0.9,IF(A26="Water",1,IF(A26="Park/Playground/Cemetery Area",0.3,IF(A26="Lawn Area",0.17,IF(A26="Woodland Area",0.45,IF(A26="Pasture Area",0.4,IF(A26="Cultivated Area",0.6))))))))</f>
        <v>0.9</v>
      </c>
      <c r="E26" s="84">
        <v>0</v>
      </c>
      <c r="F26" s="34">
        <f>D26*E26</f>
        <v>0</v>
      </c>
      <c r="I26" s="1">
        <f>IF(D26=0.9,E26,0)</f>
        <v>0</v>
      </c>
      <c r="L26" s="22"/>
      <c r="M26" s="25"/>
    </row>
    <row r="27" spans="1:18" ht="16.5" thickBot="1" x14ac:dyDescent="0.3">
      <c r="A27" s="233" t="s">
        <v>44</v>
      </c>
      <c r="B27" s="234"/>
      <c r="C27" s="235"/>
      <c r="D27" s="120">
        <f t="shared" si="4"/>
        <v>0.17</v>
      </c>
      <c r="E27" s="85">
        <v>0</v>
      </c>
      <c r="F27" s="26">
        <f t="shared" ref="F27:F32" si="5">D27*E27</f>
        <v>0</v>
      </c>
      <c r="I27" s="1">
        <f t="shared" ref="I27:I32" si="6">IF(D27=0.9,E27,0)</f>
        <v>0</v>
      </c>
      <c r="L27" s="22"/>
      <c r="M27" s="25"/>
    </row>
    <row r="28" spans="1:18" ht="16.5" thickBot="1" x14ac:dyDescent="0.3">
      <c r="A28" s="233" t="s">
        <v>86</v>
      </c>
      <c r="B28" s="234"/>
      <c r="C28" s="235"/>
      <c r="D28" s="120">
        <f t="shared" si="4"/>
        <v>0.3</v>
      </c>
      <c r="E28" s="85">
        <v>0</v>
      </c>
      <c r="F28" s="26">
        <f t="shared" si="5"/>
        <v>0</v>
      </c>
      <c r="I28" s="1">
        <f t="shared" si="6"/>
        <v>0</v>
      </c>
      <c r="L28" s="22"/>
      <c r="M28" s="25"/>
    </row>
    <row r="29" spans="1:18" ht="16.5" thickBot="1" x14ac:dyDescent="0.3">
      <c r="A29" s="233" t="s">
        <v>44</v>
      </c>
      <c r="B29" s="234"/>
      <c r="C29" s="235"/>
      <c r="D29" s="120">
        <f t="shared" si="4"/>
        <v>0.17</v>
      </c>
      <c r="E29" s="85">
        <v>0</v>
      </c>
      <c r="F29" s="27">
        <f t="shared" si="5"/>
        <v>0</v>
      </c>
      <c r="I29" s="1">
        <f t="shared" si="6"/>
        <v>0</v>
      </c>
      <c r="P29" s="2"/>
    </row>
    <row r="30" spans="1:18" ht="16.5" thickBot="1" x14ac:dyDescent="0.3">
      <c r="A30" s="233" t="s">
        <v>87</v>
      </c>
      <c r="B30" s="234"/>
      <c r="C30" s="235"/>
      <c r="D30" s="120">
        <f t="shared" si="4"/>
        <v>0.45</v>
      </c>
      <c r="E30" s="86">
        <v>0</v>
      </c>
      <c r="F30" s="27">
        <f t="shared" si="5"/>
        <v>0</v>
      </c>
      <c r="I30" s="1">
        <f t="shared" si="6"/>
        <v>0</v>
      </c>
      <c r="P30" s="2"/>
      <c r="Q30" s="24"/>
      <c r="R30" s="2"/>
    </row>
    <row r="31" spans="1:18" ht="16.5" thickBot="1" x14ac:dyDescent="0.3">
      <c r="A31" s="233" t="s">
        <v>88</v>
      </c>
      <c r="B31" s="234"/>
      <c r="C31" s="235"/>
      <c r="D31" s="120">
        <f t="shared" si="4"/>
        <v>0.4</v>
      </c>
      <c r="E31" s="85">
        <v>0</v>
      </c>
      <c r="F31" s="27">
        <f t="shared" si="5"/>
        <v>0</v>
      </c>
      <c r="I31" s="1">
        <f t="shared" si="6"/>
        <v>0</v>
      </c>
      <c r="L31" s="22"/>
      <c r="M31" s="25"/>
    </row>
    <row r="32" spans="1:18" ht="16.5" thickBot="1" x14ac:dyDescent="0.3">
      <c r="A32" s="233" t="s">
        <v>89</v>
      </c>
      <c r="B32" s="234"/>
      <c r="C32" s="235"/>
      <c r="D32" s="121">
        <f t="shared" si="4"/>
        <v>0.6</v>
      </c>
      <c r="E32" s="87">
        <v>0</v>
      </c>
      <c r="F32" s="35">
        <f t="shared" si="5"/>
        <v>0</v>
      </c>
      <c r="I32" s="1">
        <f t="shared" si="6"/>
        <v>0</v>
      </c>
    </row>
    <row r="33" spans="1:18" ht="16.5" thickBot="1" x14ac:dyDescent="0.3">
      <c r="A33" s="115"/>
      <c r="B33" s="12"/>
      <c r="C33" s="12"/>
      <c r="D33" s="123" t="s">
        <v>41</v>
      </c>
      <c r="E33" s="28">
        <f>SUM(E26:E32)</f>
        <v>0</v>
      </c>
      <c r="F33" s="29">
        <f>SUM(F26:F32)</f>
        <v>0</v>
      </c>
      <c r="I33" s="1">
        <f>SUM(I26:I32)</f>
        <v>0</v>
      </c>
      <c r="N33" s="23"/>
      <c r="P33" s="2"/>
      <c r="Q33" s="24"/>
      <c r="R33" s="2"/>
    </row>
    <row r="34" spans="1:18" ht="16.5" thickBot="1" x14ac:dyDescent="0.3">
      <c r="A34" s="115"/>
      <c r="B34" s="12"/>
      <c r="C34" s="12"/>
      <c r="D34" s="16"/>
      <c r="E34" s="9"/>
      <c r="F34" s="17"/>
    </row>
    <row r="35" spans="1:18" ht="19.5" thickBot="1" x14ac:dyDescent="0.4">
      <c r="A35" s="115"/>
      <c r="B35" s="12"/>
      <c r="C35" s="13" t="s">
        <v>93</v>
      </c>
      <c r="D35" s="30" t="e">
        <f>F33/E33</f>
        <v>#DIV/0!</v>
      </c>
      <c r="E35" s="15"/>
      <c r="F35" s="17"/>
    </row>
    <row r="36" spans="1:18" ht="15.75" x14ac:dyDescent="0.25">
      <c r="A36" s="115"/>
      <c r="B36" s="12"/>
      <c r="C36" s="12"/>
      <c r="D36" s="15"/>
      <c r="E36" s="15"/>
      <c r="F36" s="17"/>
    </row>
    <row r="37" spans="1:18" ht="15.75" x14ac:dyDescent="0.25">
      <c r="A37" s="115"/>
      <c r="B37" s="12"/>
      <c r="C37" s="12"/>
      <c r="D37" s="18"/>
      <c r="E37" s="18"/>
      <c r="F37" s="17"/>
    </row>
    <row r="38" spans="1:18" ht="16.5" thickBot="1" x14ac:dyDescent="0.3">
      <c r="A38" s="116"/>
      <c r="B38" s="19"/>
      <c r="C38" s="19"/>
      <c r="D38" s="20"/>
      <c r="E38" s="20"/>
      <c r="F38" s="21"/>
    </row>
    <row r="44" spans="1:18" s="54" customForma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8" s="54" customFormat="1" ht="15" x14ac:dyDescent="0.25">
      <c r="A45" s="53"/>
      <c r="B45" s="53"/>
      <c r="C45" s="39"/>
      <c r="D45" s="55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pans="1:18" s="54" customForma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s="54" customFormat="1" x14ac:dyDescent="0.2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s="54" customForma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s="54" customFormat="1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s="54" customFormat="1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s="54" customFormat="1" x14ac:dyDescent="0.2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s="54" customForma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s="54" customFormat="1" ht="23.25" x14ac:dyDescent="0.35">
      <c r="A53" s="56"/>
      <c r="B53" s="57"/>
      <c r="C53" s="57"/>
      <c r="D53" s="56"/>
      <c r="E53" s="56"/>
      <c r="F53" s="56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s="54" customFormat="1" ht="15.75" x14ac:dyDescent="0.25">
      <c r="A54" s="237"/>
      <c r="B54" s="237"/>
      <c r="C54" s="237"/>
      <c r="D54" s="12"/>
      <c r="E54" s="13"/>
      <c r="F54" s="45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s="54" customFormat="1" ht="15.75" x14ac:dyDescent="0.25">
      <c r="A55" s="237"/>
      <c r="B55" s="237"/>
      <c r="C55" s="237"/>
      <c r="D55" s="12"/>
      <c r="E55" s="13"/>
      <c r="F55" s="1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s="54" customFormat="1" ht="15.75" x14ac:dyDescent="0.25">
      <c r="A56" s="12"/>
      <c r="B56" s="38"/>
      <c r="C56" s="12"/>
      <c r="D56" s="12"/>
      <c r="E56" s="12"/>
      <c r="F56" s="1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1:18" s="54" customFormat="1" ht="15.75" x14ac:dyDescent="0.25">
      <c r="A57" s="12"/>
      <c r="B57" s="12"/>
      <c r="C57" s="12"/>
      <c r="D57" s="12"/>
      <c r="E57" s="12"/>
      <c r="F57" s="1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s="54" customFormat="1" ht="15.75" x14ac:dyDescent="0.25">
      <c r="A58" s="38"/>
      <c r="B58" s="58"/>
      <c r="C58" s="38"/>
      <c r="D58" s="59"/>
      <c r="E58" s="59"/>
      <c r="F58" s="59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s="54" customFormat="1" ht="15.75" x14ac:dyDescent="0.25">
      <c r="A59" s="60"/>
      <c r="B59" s="236"/>
      <c r="C59" s="236"/>
      <c r="D59" s="14"/>
      <c r="E59" s="14"/>
      <c r="F59" s="14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s="54" customFormat="1" ht="15.75" x14ac:dyDescent="0.25">
      <c r="A60" s="60"/>
      <c r="B60" s="236"/>
      <c r="C60" s="236"/>
      <c r="D60" s="14"/>
      <c r="E60" s="14"/>
      <c r="F60" s="14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s="54" customFormat="1" ht="15.75" x14ac:dyDescent="0.25">
      <c r="A61" s="15"/>
      <c r="B61" s="236"/>
      <c r="C61" s="236"/>
      <c r="D61" s="14"/>
      <c r="E61" s="14"/>
      <c r="F61" s="14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</row>
    <row r="62" spans="1:18" s="54" customFormat="1" ht="15.75" x14ac:dyDescent="0.25">
      <c r="A62" s="15"/>
      <c r="B62" s="61"/>
      <c r="C62" s="15"/>
      <c r="D62" s="14"/>
      <c r="E62" s="14"/>
      <c r="F62" s="14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</row>
    <row r="63" spans="1:18" s="54" customFormat="1" ht="15.75" x14ac:dyDescent="0.25">
      <c r="A63" s="15"/>
      <c r="B63" s="61"/>
      <c r="C63" s="15"/>
      <c r="D63" s="14"/>
      <c r="E63" s="14"/>
      <c r="F63" s="14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s="54" customFormat="1" ht="15.75" x14ac:dyDescent="0.25">
      <c r="A64" s="15"/>
      <c r="B64" s="61"/>
      <c r="C64" s="15"/>
      <c r="D64" s="14"/>
      <c r="E64" s="14"/>
      <c r="F64" s="1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</row>
    <row r="65" spans="1:18" s="54" customFormat="1" ht="15.75" x14ac:dyDescent="0.25">
      <c r="A65" s="15"/>
      <c r="B65" s="61"/>
      <c r="C65" s="15"/>
      <c r="D65" s="14"/>
      <c r="E65" s="14"/>
      <c r="F65" s="14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</row>
    <row r="66" spans="1:18" s="54" customFormat="1" ht="15.75" x14ac:dyDescent="0.25">
      <c r="A66" s="15"/>
      <c r="B66" s="61"/>
      <c r="C66" s="15"/>
      <c r="D66" s="14"/>
      <c r="E66" s="14"/>
      <c r="F66" s="14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</row>
    <row r="67" spans="1:18" s="54" customFormat="1" ht="15.75" x14ac:dyDescent="0.25">
      <c r="A67" s="12"/>
      <c r="B67" s="12"/>
      <c r="C67" s="12"/>
      <c r="D67" s="13"/>
      <c r="E67" s="14"/>
      <c r="F67" s="14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  <row r="68" spans="1:18" s="54" customFormat="1" ht="15.75" x14ac:dyDescent="0.25">
      <c r="A68" s="12"/>
      <c r="B68" s="12"/>
      <c r="C68" s="12"/>
      <c r="D68" s="14"/>
      <c r="E68" s="14"/>
      <c r="F68" s="6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s="54" customFormat="1" ht="15.75" x14ac:dyDescent="0.25">
      <c r="A69" s="12"/>
      <c r="B69" s="12"/>
      <c r="C69" s="12"/>
      <c r="D69" s="16"/>
      <c r="E69" s="53"/>
      <c r="F69" s="1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</row>
    <row r="70" spans="1:18" s="54" customFormat="1" ht="15.75" x14ac:dyDescent="0.25">
      <c r="A70" s="12"/>
      <c r="B70" s="12"/>
      <c r="C70" s="12"/>
      <c r="D70" s="63"/>
      <c r="E70" s="15"/>
      <c r="F70" s="1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s="54" customFormat="1" ht="15.75" x14ac:dyDescent="0.25">
      <c r="A71" s="12"/>
      <c r="B71" s="12"/>
      <c r="C71" s="12"/>
      <c r="D71" s="15"/>
      <c r="E71" s="15"/>
      <c r="F71" s="1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18" s="54" customFormat="1" ht="15.75" x14ac:dyDescent="0.25">
      <c r="A72" s="12"/>
      <c r="B72" s="12"/>
      <c r="C72" s="12"/>
      <c r="D72" s="18"/>
      <c r="E72" s="18"/>
      <c r="F72" s="1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</row>
    <row r="73" spans="1:18" s="54" customFormat="1" ht="15.75" x14ac:dyDescent="0.25">
      <c r="A73" s="12"/>
      <c r="B73" s="12"/>
      <c r="C73" s="12"/>
      <c r="D73" s="15"/>
      <c r="E73" s="15"/>
      <c r="F73" s="1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</row>
    <row r="74" spans="1:18" s="54" customFormat="1" x14ac:dyDescent="0.2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1:18" s="54" customFormat="1" x14ac:dyDescent="0.2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</row>
    <row r="76" spans="1:18" s="54" customFormat="1" x14ac:dyDescent="0.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</row>
    <row r="77" spans="1:18" s="54" customFormat="1" x14ac:dyDescent="0.2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</row>
    <row r="78" spans="1:18" s="54" customFormat="1" x14ac:dyDescent="0.2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s="54" customFormat="1" x14ac:dyDescent="0.2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18" s="54" customFormat="1" x14ac:dyDescent="0.2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</sheetData>
  <sheetProtection selectLockedCells="1"/>
  <dataConsolidate/>
  <mergeCells count="28">
    <mergeCell ref="B23:C23"/>
    <mergeCell ref="A21:F21"/>
    <mergeCell ref="A25:C25"/>
    <mergeCell ref="A31:C31"/>
    <mergeCell ref="A32:C32"/>
    <mergeCell ref="A26:C26"/>
    <mergeCell ref="A27:C27"/>
    <mergeCell ref="A28:C28"/>
    <mergeCell ref="A29:C29"/>
    <mergeCell ref="A30:C30"/>
    <mergeCell ref="B22:C22"/>
    <mergeCell ref="B61:C61"/>
    <mergeCell ref="A54:C54"/>
    <mergeCell ref="A55:C55"/>
    <mergeCell ref="B59:C59"/>
    <mergeCell ref="B60:C60"/>
    <mergeCell ref="A12:C12"/>
    <mergeCell ref="A7:C7"/>
    <mergeCell ref="A8:C8"/>
    <mergeCell ref="A9:C9"/>
    <mergeCell ref="A10:C10"/>
    <mergeCell ref="A11:C11"/>
    <mergeCell ref="L11:M11"/>
    <mergeCell ref="A1:F1"/>
    <mergeCell ref="B2:C2"/>
    <mergeCell ref="B3:C3"/>
    <mergeCell ref="A5:C5"/>
    <mergeCell ref="A6:C6"/>
  </mergeCells>
  <dataValidations count="3">
    <dataValidation type="list" allowBlank="1" showInputMessage="1" showErrorMessage="1" sqref="C45" xr:uid="{00000000-0002-0000-0300-000000000000}">
      <formula1>#REF!</formula1>
    </dataValidation>
    <dataValidation type="list" allowBlank="1" showInputMessage="1" showErrorMessage="1" sqref="L11:M11" xr:uid="{00000000-0002-0000-0300-000001000000}">
      <formula1>" ,Impervious Area (Pavements/Roofs/Buildings),Water,Park/Playground/Cemetery Area,Lawn Area,Woodland Area,Pasture Area,Cultivated Area"</formula1>
    </dataValidation>
    <dataValidation type="list" allowBlank="1" showInputMessage="1" showErrorMessage="1" sqref="A6:C12 A26:C32" xr:uid="{00000000-0002-0000-0300-000002000000}">
      <formula1>"Impervious Area (Pavements/Roofs/Buildings),Water,Park/Playground/Cemetery Area,Lawn Area,Woodland Area,Pasture Area,Cultivated Area"</formula1>
    </dataValidation>
  </dataValidations>
  <pageMargins left="0.7" right="0.7" top="0.75" bottom="0.75" header="0.3" footer="0.3"/>
  <pageSetup scale="80" orientation="portrait" r:id="rId1"/>
  <headerFooter>
    <oddHeader xml:space="preserve">&amp;L&amp;"Times New Roman,Regular"&amp;12Bridgeport Charter Township
Design Standards&amp;R&amp;"Times New Roman,Bold Italic"&amp;12Runoff Coefficient
</oddHeader>
    <oddFooter>&amp;L&amp;"Times New Roman,Bold"&amp;D
&amp;F&amp;R&amp;"Times New Roman,Bold"Page &amp;P of &amp;N</oddFooter>
  </headerFooter>
  <rowBreaks count="1" manualBreakCount="1">
    <brk id="4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19"/>
  <sheetViews>
    <sheetView view="pageLayout" zoomScaleNormal="100" zoomScaleSheetLayoutView="100" workbookViewId="0">
      <selection activeCell="D2" sqref="D2"/>
    </sheetView>
  </sheetViews>
  <sheetFormatPr defaultColWidth="9.140625" defaultRowHeight="12.75" x14ac:dyDescent="0.2"/>
  <cols>
    <col min="1" max="1" width="19.42578125" style="66" customWidth="1"/>
    <col min="2" max="2" width="11.140625" style="66" customWidth="1"/>
    <col min="3" max="3" width="18.5703125" style="66" customWidth="1"/>
    <col min="4" max="4" width="28.7109375" style="70" customWidth="1"/>
    <col min="5" max="5" width="12.7109375" style="66" customWidth="1"/>
    <col min="6" max="6" width="9.85546875" style="66" customWidth="1"/>
    <col min="7" max="16384" width="9.140625" style="66"/>
  </cols>
  <sheetData>
    <row r="2" spans="1:6" x14ac:dyDescent="0.2">
      <c r="A2" s="124" t="s">
        <v>0</v>
      </c>
      <c r="B2" s="239"/>
      <c r="C2" s="239"/>
    </row>
    <row r="3" spans="1:6" x14ac:dyDescent="0.2">
      <c r="A3" s="124" t="s">
        <v>1</v>
      </c>
      <c r="B3" s="240"/>
      <c r="C3" s="240"/>
    </row>
    <row r="4" spans="1:6" x14ac:dyDescent="0.2">
      <c r="A4" s="124" t="s">
        <v>2</v>
      </c>
      <c r="B4" s="240"/>
      <c r="C4" s="240"/>
    </row>
    <row r="6" spans="1:6" x14ac:dyDescent="0.2">
      <c r="A6" s="88" t="s">
        <v>3</v>
      </c>
      <c r="B6" s="89"/>
      <c r="C6" s="90"/>
      <c r="D6" s="91"/>
      <c r="E6" s="90"/>
      <c r="F6" s="90"/>
    </row>
    <row r="7" spans="1:6" x14ac:dyDescent="0.2">
      <c r="A7" s="92"/>
      <c r="B7" s="89"/>
      <c r="C7" s="93" t="s">
        <v>4</v>
      </c>
      <c r="D7" s="81"/>
      <c r="E7" s="90"/>
      <c r="F7" s="90"/>
    </row>
    <row r="8" spans="1:6" x14ac:dyDescent="0.2">
      <c r="A8" s="90"/>
      <c r="B8" s="90"/>
      <c r="C8" s="93" t="s">
        <v>95</v>
      </c>
      <c r="D8" s="94">
        <f>'Runoff Coefficient'!E33</f>
        <v>0</v>
      </c>
      <c r="E8" s="90" t="s">
        <v>28</v>
      </c>
      <c r="F8" s="90"/>
    </row>
    <row r="9" spans="1:6" x14ac:dyDescent="0.2">
      <c r="A9" s="90"/>
      <c r="B9" s="90"/>
      <c r="C9" s="93" t="s">
        <v>84</v>
      </c>
      <c r="D9" s="160">
        <v>0</v>
      </c>
      <c r="E9" s="95" t="s">
        <v>5</v>
      </c>
      <c r="F9" s="90"/>
    </row>
    <row r="10" spans="1:6" x14ac:dyDescent="0.2">
      <c r="A10" s="90"/>
      <c r="B10" s="90"/>
      <c r="C10" s="93" t="s">
        <v>96</v>
      </c>
      <c r="D10" s="94" t="e">
        <f>'Runoff Coefficient'!D35</f>
        <v>#DIV/0!</v>
      </c>
      <c r="E10" s="90"/>
      <c r="F10" s="90"/>
    </row>
    <row r="11" spans="1:6" x14ac:dyDescent="0.2">
      <c r="A11" s="90"/>
      <c r="B11" s="90"/>
      <c r="C11" s="93" t="s">
        <v>46</v>
      </c>
      <c r="D11" s="111"/>
      <c r="E11" s="90" t="s">
        <v>107</v>
      </c>
      <c r="F11" s="90"/>
    </row>
    <row r="12" spans="1:6" x14ac:dyDescent="0.2">
      <c r="A12" s="90"/>
      <c r="B12" s="90"/>
      <c r="C12" s="93"/>
      <c r="D12" s="94"/>
      <c r="E12" s="90"/>
      <c r="F12" s="90"/>
    </row>
    <row r="13" spans="1:6" x14ac:dyDescent="0.2">
      <c r="A13" s="90"/>
      <c r="B13" s="90"/>
      <c r="C13" s="93" t="s">
        <v>83</v>
      </c>
      <c r="D13" s="94" t="s">
        <v>47</v>
      </c>
      <c r="E13" s="90"/>
      <c r="F13" s="90"/>
    </row>
    <row r="14" spans="1:6" x14ac:dyDescent="0.2">
      <c r="A14" s="90"/>
      <c r="B14" s="90"/>
      <c r="C14" s="93" t="s">
        <v>83</v>
      </c>
      <c r="D14" s="172">
        <f>(D11/(2*60))+15</f>
        <v>15</v>
      </c>
      <c r="E14" s="90" t="s">
        <v>124</v>
      </c>
      <c r="F14" s="90"/>
    </row>
    <row r="15" spans="1:6" x14ac:dyDescent="0.2">
      <c r="A15" s="90"/>
      <c r="B15" s="90"/>
      <c r="C15" s="93"/>
      <c r="D15" s="96"/>
      <c r="E15" s="90"/>
      <c r="F15" s="90"/>
    </row>
    <row r="16" spans="1:6" x14ac:dyDescent="0.2">
      <c r="A16" s="90"/>
      <c r="B16" s="90"/>
      <c r="C16" s="93" t="s">
        <v>82</v>
      </c>
      <c r="D16" s="97">
        <f>+(1-D9)*D8</f>
        <v>0</v>
      </c>
      <c r="E16" s="90" t="s">
        <v>28</v>
      </c>
      <c r="F16" s="90"/>
    </row>
    <row r="17" spans="1:6" x14ac:dyDescent="0.2">
      <c r="A17" s="90"/>
      <c r="B17" s="90"/>
      <c r="C17" s="93" t="s">
        <v>81</v>
      </c>
      <c r="D17" s="97">
        <f>+D8*D9</f>
        <v>0</v>
      </c>
      <c r="E17" s="90" t="s">
        <v>28</v>
      </c>
      <c r="F17" s="90"/>
    </row>
    <row r="18" spans="1:6" x14ac:dyDescent="0.2">
      <c r="A18" s="90"/>
      <c r="B18" s="90"/>
      <c r="C18" s="90"/>
      <c r="D18" s="91"/>
      <c r="E18" s="90"/>
      <c r="F18" s="90"/>
    </row>
    <row r="19" spans="1:6" x14ac:dyDescent="0.2">
      <c r="A19" s="90"/>
      <c r="B19" s="90"/>
      <c r="C19" s="93" t="s">
        <v>6</v>
      </c>
      <c r="D19" s="91" t="s">
        <v>80</v>
      </c>
      <c r="E19" s="98"/>
      <c r="F19" s="90"/>
    </row>
    <row r="20" spans="1:6" x14ac:dyDescent="0.2">
      <c r="A20" s="90"/>
      <c r="B20" s="90"/>
      <c r="C20" s="93" t="s">
        <v>6</v>
      </c>
      <c r="D20" s="99">
        <f>175/(25+D14)</f>
        <v>4.375</v>
      </c>
      <c r="E20" s="90" t="s">
        <v>125</v>
      </c>
      <c r="F20" s="90"/>
    </row>
    <row r="21" spans="1:6" x14ac:dyDescent="0.2">
      <c r="A21" s="90"/>
      <c r="B21" s="90"/>
      <c r="C21" s="90"/>
      <c r="D21" s="91"/>
      <c r="E21" s="90"/>
      <c r="F21" s="90"/>
    </row>
    <row r="22" spans="1:6" x14ac:dyDescent="0.2">
      <c r="A22" s="90"/>
      <c r="B22" s="90"/>
      <c r="C22" s="93" t="s">
        <v>78</v>
      </c>
      <c r="D22" s="91">
        <v>0.2</v>
      </c>
      <c r="E22" s="98" t="s">
        <v>126</v>
      </c>
      <c r="F22" s="90"/>
    </row>
    <row r="23" spans="1:6" x14ac:dyDescent="0.2">
      <c r="A23" s="90"/>
      <c r="B23" s="90"/>
      <c r="C23" s="93" t="s">
        <v>78</v>
      </c>
      <c r="D23" s="91" t="s">
        <v>79</v>
      </c>
      <c r="E23" s="90" t="s">
        <v>127</v>
      </c>
      <c r="F23" s="90"/>
    </row>
    <row r="24" spans="1:6" x14ac:dyDescent="0.2">
      <c r="A24" s="90"/>
      <c r="B24" s="90"/>
      <c r="C24" s="93" t="s">
        <v>78</v>
      </c>
      <c r="D24" s="100">
        <f>IF(D14&gt;30,D22,D14/(80+4*D14))</f>
        <v>0.10714285714285714</v>
      </c>
      <c r="E24" s="90"/>
      <c r="F24" s="90"/>
    </row>
    <row r="25" spans="1:6" x14ac:dyDescent="0.2">
      <c r="A25" s="90"/>
      <c r="B25" s="90"/>
      <c r="C25" s="90"/>
      <c r="D25" s="91"/>
      <c r="E25" s="90"/>
      <c r="F25" s="90"/>
    </row>
    <row r="26" spans="1:6" x14ac:dyDescent="0.2">
      <c r="A26" s="90"/>
      <c r="B26" s="90"/>
      <c r="C26" s="93" t="s">
        <v>76</v>
      </c>
      <c r="D26" s="91">
        <v>0.8</v>
      </c>
      <c r="E26" s="98" t="s">
        <v>126</v>
      </c>
      <c r="F26" s="90"/>
    </row>
    <row r="27" spans="1:6" x14ac:dyDescent="0.2">
      <c r="A27" s="90"/>
      <c r="B27" s="90"/>
      <c r="C27" s="93" t="s">
        <v>76</v>
      </c>
      <c r="D27" s="91" t="s">
        <v>77</v>
      </c>
      <c r="E27" s="90" t="s">
        <v>127</v>
      </c>
      <c r="F27" s="90"/>
    </row>
    <row r="28" spans="1:6" x14ac:dyDescent="0.2">
      <c r="A28" s="90"/>
      <c r="B28" s="90"/>
      <c r="C28" s="93" t="s">
        <v>76</v>
      </c>
      <c r="D28" s="100">
        <f>IF(D14&gt;30,D26,D14/(8+D14))</f>
        <v>0.65217391304347827</v>
      </c>
      <c r="E28" s="90"/>
      <c r="F28" s="90"/>
    </row>
    <row r="29" spans="1:6" x14ac:dyDescent="0.2">
      <c r="A29" s="90"/>
      <c r="B29" s="90"/>
      <c r="C29" s="90"/>
      <c r="D29" s="100"/>
      <c r="E29" s="90"/>
      <c r="F29" s="90"/>
    </row>
    <row r="30" spans="1:6" ht="13.5" thickBot="1" x14ac:dyDescent="0.25">
      <c r="A30" s="89"/>
      <c r="B30" s="90"/>
      <c r="C30" s="93" t="s">
        <v>74</v>
      </c>
      <c r="D30" s="101" t="s">
        <v>75</v>
      </c>
      <c r="E30" s="90"/>
      <c r="F30" s="90"/>
    </row>
    <row r="31" spans="1:6" ht="13.5" thickBot="1" x14ac:dyDescent="0.25">
      <c r="A31" s="90"/>
      <c r="B31" s="102"/>
      <c r="C31" s="103" t="s">
        <v>74</v>
      </c>
      <c r="D31" s="104">
        <f>+(D28*D20*D17)+(D24*D20*D16)</f>
        <v>0</v>
      </c>
      <c r="E31" s="105" t="s">
        <v>103</v>
      </c>
      <c r="F31" s="90"/>
    </row>
    <row r="32" spans="1:6" x14ac:dyDescent="0.2">
      <c r="A32" s="90"/>
      <c r="B32" s="150"/>
      <c r="C32" s="151"/>
      <c r="D32" s="152"/>
      <c r="E32" s="150"/>
      <c r="F32" s="90"/>
    </row>
    <row r="33" spans="1:6" s="159" customFormat="1" x14ac:dyDescent="0.2">
      <c r="A33" s="162" t="s">
        <v>7</v>
      </c>
      <c r="B33" s="163"/>
      <c r="C33" s="113"/>
      <c r="D33" s="96"/>
      <c r="E33" s="113"/>
      <c r="F33" s="113"/>
    </row>
    <row r="34" spans="1:6" s="159" customFormat="1" x14ac:dyDescent="0.2">
      <c r="A34" s="164"/>
      <c r="B34" s="163"/>
      <c r="C34" s="127" t="s">
        <v>95</v>
      </c>
      <c r="D34" s="180">
        <f>D8</f>
        <v>0</v>
      </c>
      <c r="E34" s="1" t="s">
        <v>28</v>
      </c>
      <c r="F34" s="113"/>
    </row>
    <row r="35" spans="1:6" s="159" customFormat="1" x14ac:dyDescent="0.2">
      <c r="A35" s="164"/>
      <c r="B35" s="163"/>
      <c r="C35" s="158"/>
      <c r="D35" s="163"/>
      <c r="E35" s="113"/>
      <c r="F35" s="113"/>
    </row>
    <row r="36" spans="1:6" s="159" customFormat="1" x14ac:dyDescent="0.2">
      <c r="A36" s="164"/>
      <c r="B36" s="163"/>
      <c r="C36" s="158" t="s">
        <v>72</v>
      </c>
      <c r="D36" s="96" t="s">
        <v>73</v>
      </c>
      <c r="E36" s="113"/>
      <c r="F36" s="113"/>
    </row>
    <row r="37" spans="1:6" s="159" customFormat="1" x14ac:dyDescent="0.2">
      <c r="A37" s="113"/>
      <c r="B37" s="113"/>
      <c r="C37" s="158" t="s">
        <v>72</v>
      </c>
      <c r="D37" s="165" t="e">
        <f>+D31/(D34*D10)</f>
        <v>#DIV/0!</v>
      </c>
      <c r="E37" s="113" t="s">
        <v>128</v>
      </c>
      <c r="F37" s="113"/>
    </row>
    <row r="38" spans="1:6" x14ac:dyDescent="0.2">
      <c r="A38" s="113"/>
      <c r="B38" s="113"/>
      <c r="C38" s="158"/>
      <c r="D38" s="96"/>
      <c r="E38" s="113"/>
      <c r="F38" s="90"/>
    </row>
    <row r="39" spans="1:6" ht="15.75" x14ac:dyDescent="0.2">
      <c r="A39" s="113"/>
      <c r="B39" s="113"/>
      <c r="C39" s="158" t="s">
        <v>8</v>
      </c>
      <c r="D39" s="96" t="s">
        <v>114</v>
      </c>
      <c r="E39" s="113"/>
      <c r="F39" s="90"/>
    </row>
    <row r="40" spans="1:6" x14ac:dyDescent="0.2">
      <c r="A40" s="113"/>
      <c r="B40" s="113"/>
      <c r="C40" s="158" t="s">
        <v>8</v>
      </c>
      <c r="D40" s="172" t="e">
        <f>+((6562.5/D37)^0.5)-25</f>
        <v>#DIV/0!</v>
      </c>
      <c r="E40" s="90" t="s">
        <v>124</v>
      </c>
      <c r="F40" s="90"/>
    </row>
    <row r="41" spans="1:6" x14ac:dyDescent="0.2">
      <c r="A41" s="113"/>
      <c r="B41" s="113"/>
      <c r="C41" s="158"/>
      <c r="D41" s="96"/>
      <c r="E41" s="113"/>
      <c r="F41" s="90"/>
    </row>
    <row r="42" spans="1:6" x14ac:dyDescent="0.2">
      <c r="A42" s="163"/>
      <c r="B42" s="113"/>
      <c r="C42" s="158" t="s">
        <v>64</v>
      </c>
      <c r="D42" s="96" t="s">
        <v>115</v>
      </c>
      <c r="E42" s="163"/>
      <c r="F42" s="90"/>
    </row>
    <row r="43" spans="1:6" x14ac:dyDescent="0.2">
      <c r="A43" s="113"/>
      <c r="B43" s="113"/>
      <c r="C43" s="158" t="s">
        <v>64</v>
      </c>
      <c r="D43" s="173" t="e">
        <f>+((10500*D40)/(D40+25))-(40*D37*D40)</f>
        <v>#DIV/0!</v>
      </c>
      <c r="E43" s="113" t="s">
        <v>129</v>
      </c>
      <c r="F43" s="90"/>
    </row>
    <row r="44" spans="1:6" x14ac:dyDescent="0.2">
      <c r="A44" s="113"/>
      <c r="B44" s="163"/>
      <c r="C44" s="163"/>
      <c r="D44" s="96"/>
      <c r="E44" s="174"/>
      <c r="F44" s="90"/>
    </row>
    <row r="45" spans="1:6" ht="13.5" thickBot="1" x14ac:dyDescent="0.25">
      <c r="A45" s="163"/>
      <c r="B45" s="113"/>
      <c r="C45" s="158" t="s">
        <v>63</v>
      </c>
      <c r="D45" s="96" t="s">
        <v>62</v>
      </c>
      <c r="E45" s="163"/>
      <c r="F45" s="90"/>
    </row>
    <row r="46" spans="1:6" ht="13.5" thickBot="1" x14ac:dyDescent="0.25">
      <c r="A46" s="175"/>
      <c r="B46" s="176"/>
      <c r="C46" s="177" t="s">
        <v>63</v>
      </c>
      <c r="D46" s="178" t="e">
        <f>+D43*D34*D10</f>
        <v>#DIV/0!</v>
      </c>
      <c r="E46" s="179" t="s">
        <v>94</v>
      </c>
      <c r="F46" s="90"/>
    </row>
    <row r="47" spans="1:6" x14ac:dyDescent="0.2">
      <c r="A47" s="90"/>
      <c r="B47" s="150"/>
      <c r="C47" s="151"/>
      <c r="D47" s="152"/>
      <c r="E47" s="150"/>
      <c r="F47" s="90"/>
    </row>
    <row r="48" spans="1:6" x14ac:dyDescent="0.2">
      <c r="A48" s="125" t="s">
        <v>56</v>
      </c>
      <c r="B48" s="1"/>
      <c r="C48" s="1"/>
      <c r="D48" s="134"/>
      <c r="E48" s="1"/>
      <c r="F48" s="90"/>
    </row>
    <row r="49" spans="1:6" x14ac:dyDescent="0.2">
      <c r="A49" s="1"/>
      <c r="B49" s="1"/>
      <c r="C49" s="127" t="s">
        <v>9</v>
      </c>
      <c r="D49" s="184"/>
      <c r="E49" s="1" t="s">
        <v>107</v>
      </c>
      <c r="F49" s="90"/>
    </row>
    <row r="50" spans="1:6" x14ac:dyDescent="0.2">
      <c r="A50" s="1"/>
      <c r="B50" s="1"/>
      <c r="C50" s="127" t="s">
        <v>10</v>
      </c>
      <c r="D50" s="134"/>
      <c r="E50" s="1"/>
      <c r="F50" s="90"/>
    </row>
    <row r="51" spans="1:6" ht="15.75" x14ac:dyDescent="0.2">
      <c r="A51" s="1"/>
      <c r="B51" s="1"/>
      <c r="C51" s="127" t="s">
        <v>71</v>
      </c>
      <c r="D51" s="134" t="s">
        <v>11</v>
      </c>
      <c r="E51" s="1"/>
      <c r="F51" s="90"/>
    </row>
    <row r="52" spans="1:6" x14ac:dyDescent="0.2">
      <c r="A52" s="1"/>
      <c r="B52" s="1"/>
      <c r="C52" s="127" t="s">
        <v>71</v>
      </c>
      <c r="D52" s="153" t="e">
        <f>+D31/(0.62*((64.4*D49)^0.5))</f>
        <v>#DIV/0!</v>
      </c>
      <c r="E52" s="1" t="s">
        <v>109</v>
      </c>
      <c r="F52" s="90"/>
    </row>
    <row r="53" spans="1:6" ht="14.25" hidden="1" x14ac:dyDescent="0.25">
      <c r="A53" s="1"/>
      <c r="B53" s="154" t="s">
        <v>69</v>
      </c>
      <c r="C53" s="154"/>
      <c r="D53" s="155" t="s">
        <v>68</v>
      </c>
      <c r="E53" s="156"/>
      <c r="F53" s="90"/>
    </row>
    <row r="54" spans="1:6" hidden="1" x14ac:dyDescent="0.2">
      <c r="A54" s="1"/>
      <c r="B54" s="127"/>
      <c r="C54" s="127"/>
      <c r="D54" s="157" t="e">
        <f>#REF!/D52</f>
        <v>#REF!</v>
      </c>
      <c r="E54" s="156" t="s">
        <v>116</v>
      </c>
      <c r="F54" s="90"/>
    </row>
    <row r="55" spans="1:6" hidden="1" x14ac:dyDescent="0.2">
      <c r="A55" s="1"/>
      <c r="B55" s="127"/>
      <c r="C55" s="127"/>
      <c r="D55" s="157" t="e">
        <f>IF(D54&lt;1,1,#REF!/D52)</f>
        <v>#REF!</v>
      </c>
      <c r="E55" s="156" t="s">
        <v>116</v>
      </c>
      <c r="F55" s="90"/>
    </row>
    <row r="56" spans="1:6" x14ac:dyDescent="0.2">
      <c r="A56" s="1"/>
      <c r="B56" s="1"/>
      <c r="C56" s="127" t="s">
        <v>61</v>
      </c>
      <c r="D56" s="136" t="e">
        <f>+((4*(D52*144))/3.14159)^0.5</f>
        <v>#DIV/0!</v>
      </c>
      <c r="E56" s="1" t="s">
        <v>51</v>
      </c>
      <c r="F56" s="90"/>
    </row>
    <row r="57" spans="1:6" x14ac:dyDescent="0.2">
      <c r="A57" s="1"/>
      <c r="B57" s="1"/>
      <c r="C57" s="127"/>
      <c r="D57" s="136"/>
      <c r="E57" s="1"/>
      <c r="F57" s="90"/>
    </row>
    <row r="58" spans="1:6" x14ac:dyDescent="0.2">
      <c r="A58" s="88" t="s">
        <v>57</v>
      </c>
      <c r="B58" s="90"/>
      <c r="C58" s="90"/>
      <c r="D58" s="91"/>
      <c r="E58" s="90"/>
      <c r="F58" s="90"/>
    </row>
    <row r="59" spans="1:6" x14ac:dyDescent="0.2">
      <c r="A59" s="90"/>
      <c r="B59" s="90"/>
      <c r="C59" s="93" t="s">
        <v>12</v>
      </c>
      <c r="D59" s="81"/>
      <c r="E59" s="1" t="s">
        <v>51</v>
      </c>
      <c r="F59" s="90"/>
    </row>
    <row r="60" spans="1:6" x14ac:dyDescent="0.2">
      <c r="A60" s="90"/>
      <c r="B60" s="90"/>
      <c r="C60" s="93" t="s">
        <v>70</v>
      </c>
      <c r="D60" s="109">
        <f>+(3.14159/4)*(D59/12)^2</f>
        <v>0</v>
      </c>
      <c r="E60" s="1" t="s">
        <v>109</v>
      </c>
      <c r="F60" s="90"/>
    </row>
    <row r="61" spans="1:6" x14ac:dyDescent="0.2">
      <c r="A61" s="90"/>
      <c r="B61" s="90"/>
      <c r="C61" s="93" t="s">
        <v>9</v>
      </c>
      <c r="D61" s="181">
        <f>D49</f>
        <v>0</v>
      </c>
      <c r="E61" s="90" t="s">
        <v>107</v>
      </c>
      <c r="F61" s="90"/>
    </row>
    <row r="62" spans="1:6" x14ac:dyDescent="0.2">
      <c r="A62" s="90"/>
      <c r="B62" s="90"/>
      <c r="C62" s="118"/>
      <c r="D62" s="166"/>
      <c r="E62" s="90"/>
      <c r="F62" s="90"/>
    </row>
    <row r="63" spans="1:6" ht="15.75" x14ac:dyDescent="0.2">
      <c r="A63" s="90"/>
      <c r="B63" s="90"/>
      <c r="C63" s="93" t="s">
        <v>13</v>
      </c>
      <c r="D63" s="91" t="s">
        <v>117</v>
      </c>
      <c r="E63" s="89"/>
      <c r="F63" s="90"/>
    </row>
    <row r="64" spans="1:6" x14ac:dyDescent="0.2">
      <c r="A64" s="90"/>
      <c r="B64" s="90"/>
      <c r="C64" s="93" t="s">
        <v>13</v>
      </c>
      <c r="D64" s="97">
        <f>0.62*D60*((2*32.2*D61)^0.5)</f>
        <v>0</v>
      </c>
      <c r="E64" s="90" t="s">
        <v>103</v>
      </c>
      <c r="F64" s="90"/>
    </row>
    <row r="65" spans="1:6" x14ac:dyDescent="0.2">
      <c r="A65" s="90"/>
      <c r="B65" s="90"/>
      <c r="C65" s="93"/>
      <c r="D65" s="100"/>
      <c r="E65" s="90"/>
      <c r="F65" s="90"/>
    </row>
    <row r="66" spans="1:6" x14ac:dyDescent="0.2">
      <c r="A66" s="88" t="s">
        <v>152</v>
      </c>
      <c r="B66" s="90"/>
      <c r="C66" s="93"/>
      <c r="D66" s="100"/>
      <c r="E66" s="90"/>
      <c r="F66" s="90"/>
    </row>
    <row r="67" spans="1:6" x14ac:dyDescent="0.2">
      <c r="A67" s="205" t="s">
        <v>162</v>
      </c>
      <c r="B67" s="90"/>
      <c r="C67" s="118"/>
      <c r="D67" s="100"/>
      <c r="E67" s="90"/>
      <c r="F67" s="90"/>
    </row>
    <row r="68" spans="1:6" s="159" customFormat="1" x14ac:dyDescent="0.2">
      <c r="A68" s="113"/>
      <c r="B68" s="113"/>
      <c r="C68" s="158" t="s">
        <v>14</v>
      </c>
      <c r="D68" s="82"/>
      <c r="E68" s="113" t="s">
        <v>51</v>
      </c>
      <c r="F68" s="113"/>
    </row>
    <row r="69" spans="1:6" s="159" customFormat="1" x14ac:dyDescent="0.2">
      <c r="A69" s="113"/>
      <c r="B69" s="113"/>
      <c r="C69" s="158" t="s">
        <v>14</v>
      </c>
      <c r="D69" s="94">
        <f>+D68/12</f>
        <v>0</v>
      </c>
      <c r="E69" s="90" t="s">
        <v>107</v>
      </c>
      <c r="F69" s="113"/>
    </row>
    <row r="70" spans="1:6" s="159" customFormat="1" x14ac:dyDescent="0.2">
      <c r="A70" s="113"/>
      <c r="B70" s="113"/>
      <c r="C70" s="158"/>
      <c r="D70" s="94"/>
      <c r="E70" s="113"/>
      <c r="F70" s="113"/>
    </row>
    <row r="71" spans="1:6" s="159" customFormat="1" x14ac:dyDescent="0.2">
      <c r="A71" s="113"/>
      <c r="B71" s="113"/>
      <c r="C71" s="158" t="s">
        <v>15</v>
      </c>
      <c r="D71" s="83"/>
      <c r="E71" s="113"/>
      <c r="F71" s="113"/>
    </row>
    <row r="72" spans="1:6" s="159" customFormat="1" x14ac:dyDescent="0.2">
      <c r="A72" s="113"/>
      <c r="B72" s="113"/>
      <c r="C72" s="158" t="s">
        <v>118</v>
      </c>
      <c r="D72" s="64"/>
      <c r="E72" s="113" t="s">
        <v>5</v>
      </c>
      <c r="F72" s="113"/>
    </row>
    <row r="73" spans="1:6" s="159" customFormat="1" x14ac:dyDescent="0.2">
      <c r="A73" s="113"/>
      <c r="B73" s="113"/>
      <c r="C73" s="158"/>
      <c r="D73" s="110"/>
      <c r="E73" s="113"/>
      <c r="F73" s="113"/>
    </row>
    <row r="74" spans="1:6" s="159" customFormat="1" ht="15.75" x14ac:dyDescent="0.2">
      <c r="A74" s="113"/>
      <c r="B74" s="113"/>
      <c r="C74" s="158" t="s">
        <v>13</v>
      </c>
      <c r="D74" s="161" t="s">
        <v>67</v>
      </c>
      <c r="E74" s="113"/>
      <c r="F74" s="113"/>
    </row>
    <row r="75" spans="1:6" s="159" customFormat="1" x14ac:dyDescent="0.2">
      <c r="A75" s="113"/>
      <c r="B75" s="113"/>
      <c r="C75" s="158" t="s">
        <v>13</v>
      </c>
      <c r="D75" s="99" t="e">
        <f>+(0.7854*(D69^2))*(1.486/D71)*((D69/4)^0.667)*(D72^0.5)</f>
        <v>#DIV/0!</v>
      </c>
      <c r="E75" s="113" t="s">
        <v>103</v>
      </c>
      <c r="F75" s="113"/>
    </row>
    <row r="76" spans="1:6" s="159" customFormat="1" x14ac:dyDescent="0.2">
      <c r="A76" s="113"/>
      <c r="B76" s="113"/>
      <c r="C76" s="113"/>
      <c r="D76" s="96"/>
      <c r="E76" s="113"/>
      <c r="F76" s="113"/>
    </row>
    <row r="77" spans="1:6" x14ac:dyDescent="0.2">
      <c r="A77" s="75" t="s">
        <v>60</v>
      </c>
    </row>
    <row r="78" spans="1:6" x14ac:dyDescent="0.2">
      <c r="A78" s="80"/>
      <c r="B78" s="78"/>
      <c r="C78" s="69" t="s">
        <v>66</v>
      </c>
      <c r="D78" s="81"/>
      <c r="E78" s="66" t="s">
        <v>103</v>
      </c>
    </row>
    <row r="79" spans="1:6" x14ac:dyDescent="0.2">
      <c r="A79" s="80"/>
      <c r="B79" s="78"/>
      <c r="C79" s="69"/>
    </row>
    <row r="80" spans="1:6" x14ac:dyDescent="0.2">
      <c r="A80" s="80"/>
      <c r="B80" s="78"/>
      <c r="C80" s="69" t="s">
        <v>65</v>
      </c>
      <c r="D80" s="76" t="s">
        <v>119</v>
      </c>
    </row>
    <row r="81" spans="1:6" x14ac:dyDescent="0.2">
      <c r="C81" s="69" t="s">
        <v>65</v>
      </c>
      <c r="D81" s="182" t="e">
        <f>+D78/(D8*D10)</f>
        <v>#DIV/0!</v>
      </c>
      <c r="E81" s="66" t="s">
        <v>130</v>
      </c>
    </row>
    <row r="82" spans="1:6" x14ac:dyDescent="0.2">
      <c r="C82" s="69"/>
    </row>
    <row r="83" spans="1:6" ht="15.75" x14ac:dyDescent="0.2">
      <c r="C83" s="69" t="s">
        <v>8</v>
      </c>
      <c r="D83" s="70" t="s">
        <v>114</v>
      </c>
    </row>
    <row r="84" spans="1:6" x14ac:dyDescent="0.2">
      <c r="C84" s="69" t="s">
        <v>8</v>
      </c>
      <c r="D84" s="68" t="e">
        <f>+((6562.5/D81)^0.5)-25</f>
        <v>#DIV/0!</v>
      </c>
      <c r="E84" s="66" t="s">
        <v>124</v>
      </c>
    </row>
    <row r="85" spans="1:6" x14ac:dyDescent="0.2">
      <c r="C85" s="69"/>
    </row>
    <row r="86" spans="1:6" x14ac:dyDescent="0.2">
      <c r="A86" s="78"/>
      <c r="C86" s="69" t="s">
        <v>64</v>
      </c>
      <c r="D86" s="70" t="s">
        <v>115</v>
      </c>
      <c r="E86" s="78"/>
    </row>
    <row r="87" spans="1:6" x14ac:dyDescent="0.2">
      <c r="C87" s="69" t="s">
        <v>64</v>
      </c>
      <c r="D87" s="3" t="e">
        <f>+((10500*D84)/(D84+25))-(40*D81*D84)</f>
        <v>#DIV/0!</v>
      </c>
      <c r="E87" s="66" t="s">
        <v>129</v>
      </c>
    </row>
    <row r="88" spans="1:6" ht="13.5" thickBot="1" x14ac:dyDescent="0.25">
      <c r="B88" s="78"/>
      <c r="C88" s="78"/>
      <c r="E88" s="79"/>
    </row>
    <row r="89" spans="1:6" x14ac:dyDescent="0.2">
      <c r="A89" s="187"/>
      <c r="B89" s="188"/>
      <c r="C89" s="189" t="s">
        <v>63</v>
      </c>
      <c r="D89" s="190" t="s">
        <v>62</v>
      </c>
      <c r="E89" s="191"/>
    </row>
    <row r="90" spans="1:6" ht="13.5" thickBot="1" x14ac:dyDescent="0.25">
      <c r="A90" s="192"/>
      <c r="B90" s="193"/>
      <c r="C90" s="194" t="s">
        <v>16</v>
      </c>
      <c r="D90" s="195" t="e">
        <f>+D87*D8*D10</f>
        <v>#DIV/0!</v>
      </c>
      <c r="E90" s="196" t="s">
        <v>94</v>
      </c>
    </row>
    <row r="91" spans="1:6" x14ac:dyDescent="0.2">
      <c r="C91" s="69"/>
      <c r="D91" s="77"/>
    </row>
    <row r="92" spans="1:6" x14ac:dyDescent="0.2">
      <c r="C92" s="69" t="s">
        <v>136</v>
      </c>
      <c r="D92" s="186"/>
      <c r="E92" s="66" t="s">
        <v>94</v>
      </c>
    </row>
    <row r="93" spans="1:6" x14ac:dyDescent="0.2">
      <c r="A93" s="90"/>
      <c r="B93" s="90"/>
      <c r="C93" s="90"/>
      <c r="D93" s="106"/>
      <c r="E93" s="90"/>
      <c r="F93" s="90"/>
    </row>
    <row r="94" spans="1:6" x14ac:dyDescent="0.2">
      <c r="A94" s="125" t="s">
        <v>97</v>
      </c>
      <c r="B94" s="1"/>
      <c r="C94" s="1"/>
      <c r="D94" s="126"/>
      <c r="E94" s="1"/>
      <c r="F94" s="90"/>
    </row>
    <row r="95" spans="1:6" ht="15" thickBot="1" x14ac:dyDescent="0.3">
      <c r="A95" s="1"/>
      <c r="B95" s="1"/>
      <c r="C95" s="127" t="s">
        <v>131</v>
      </c>
      <c r="D95" s="128" t="s">
        <v>100</v>
      </c>
      <c r="E95" s="1"/>
      <c r="F95" s="90"/>
    </row>
    <row r="96" spans="1:6" ht="15" thickBot="1" x14ac:dyDescent="0.3">
      <c r="A96" s="1"/>
      <c r="B96" s="1"/>
      <c r="C96" s="129" t="s">
        <v>131</v>
      </c>
      <c r="D96" s="130" t="e">
        <f>3630*D8*D10</f>
        <v>#DIV/0!</v>
      </c>
      <c r="E96" s="131" t="s">
        <v>94</v>
      </c>
      <c r="F96" s="90"/>
    </row>
    <row r="97" spans="1:6" x14ac:dyDescent="0.2">
      <c r="A97" s="1"/>
      <c r="B97" s="1"/>
      <c r="C97" s="127"/>
      <c r="D97" s="126"/>
      <c r="E97" s="1"/>
      <c r="F97" s="90"/>
    </row>
    <row r="98" spans="1:6" x14ac:dyDescent="0.2">
      <c r="A98" s="125" t="s">
        <v>98</v>
      </c>
      <c r="B98" s="1"/>
      <c r="C98" s="127"/>
      <c r="D98" s="126"/>
      <c r="E98" s="1"/>
      <c r="F98" s="90"/>
    </row>
    <row r="99" spans="1:6" x14ac:dyDescent="0.2">
      <c r="A99" s="1" t="s">
        <v>101</v>
      </c>
      <c r="B99" s="1"/>
      <c r="C99" s="127"/>
      <c r="D99" s="126"/>
      <c r="E99" s="1"/>
      <c r="F99" s="90"/>
    </row>
    <row r="100" spans="1:6" ht="14.25" x14ac:dyDescent="0.25">
      <c r="A100" s="127" t="s">
        <v>102</v>
      </c>
      <c r="B100" s="147"/>
      <c r="C100" s="127" t="s">
        <v>137</v>
      </c>
      <c r="D100" s="128" t="s">
        <v>133</v>
      </c>
      <c r="E100" s="1"/>
      <c r="F100" s="90"/>
    </row>
    <row r="101" spans="1:6" ht="14.25" x14ac:dyDescent="0.25">
      <c r="A101" s="1"/>
      <c r="B101" s="1"/>
      <c r="C101" s="127" t="s">
        <v>132</v>
      </c>
      <c r="D101" s="132" t="e">
        <f>D96/(B100*3600)</f>
        <v>#DIV/0!</v>
      </c>
      <c r="E101" s="1" t="s">
        <v>103</v>
      </c>
      <c r="F101" s="90"/>
    </row>
    <row r="102" spans="1:6" x14ac:dyDescent="0.2">
      <c r="A102" s="133"/>
      <c r="B102" s="1"/>
      <c r="C102" s="127"/>
      <c r="D102" s="126"/>
      <c r="E102" s="1"/>
      <c r="F102" s="90"/>
    </row>
    <row r="103" spans="1:6" x14ac:dyDescent="0.2">
      <c r="A103" s="125" t="s">
        <v>99</v>
      </c>
      <c r="B103" s="1"/>
      <c r="C103" s="1"/>
      <c r="D103" s="134"/>
      <c r="E103" s="1"/>
      <c r="F103" s="90"/>
    </row>
    <row r="104" spans="1:6" ht="14.25" x14ac:dyDescent="0.25">
      <c r="A104" s="1"/>
      <c r="B104" s="1"/>
      <c r="C104" s="127" t="s">
        <v>104</v>
      </c>
      <c r="D104" s="1" t="s">
        <v>105</v>
      </c>
      <c r="E104" s="1"/>
      <c r="F104" s="90"/>
    </row>
    <row r="105" spans="1:6" x14ac:dyDescent="0.2">
      <c r="A105" s="1"/>
      <c r="B105" s="1"/>
      <c r="C105" s="127" t="s">
        <v>106</v>
      </c>
      <c r="D105" s="148"/>
      <c r="E105" s="135" t="s">
        <v>107</v>
      </c>
      <c r="F105" s="90"/>
    </row>
    <row r="106" spans="1:6" x14ac:dyDescent="0.2">
      <c r="A106" s="1"/>
      <c r="B106" s="1"/>
      <c r="C106" s="127" t="s">
        <v>108</v>
      </c>
      <c r="D106" s="148"/>
      <c r="E106" s="135" t="s">
        <v>107</v>
      </c>
      <c r="F106" s="90"/>
    </row>
    <row r="107" spans="1:6" ht="14.25" x14ac:dyDescent="0.25">
      <c r="A107" s="1"/>
      <c r="B107" s="1"/>
      <c r="C107" s="127" t="s">
        <v>113</v>
      </c>
      <c r="D107" s="136">
        <f>0.667*(D105-D106)</f>
        <v>0</v>
      </c>
      <c r="E107" s="135" t="s">
        <v>107</v>
      </c>
      <c r="F107" s="90"/>
    </row>
    <row r="108" spans="1:6" x14ac:dyDescent="0.2">
      <c r="A108" s="1"/>
      <c r="B108" s="24"/>
      <c r="C108" s="1"/>
      <c r="D108" s="134"/>
      <c r="E108" s="1"/>
      <c r="F108" s="90"/>
    </row>
    <row r="109" spans="1:6" ht="16.5" x14ac:dyDescent="0.25">
      <c r="A109" s="1"/>
      <c r="B109" s="1"/>
      <c r="C109" s="127" t="s">
        <v>151</v>
      </c>
      <c r="D109" s="128" t="s">
        <v>134</v>
      </c>
      <c r="E109" s="1"/>
      <c r="F109" s="90"/>
    </row>
    <row r="110" spans="1:6" ht="14.25" x14ac:dyDescent="0.25">
      <c r="A110" s="1"/>
      <c r="B110" s="1"/>
      <c r="C110" s="127" t="s">
        <v>151</v>
      </c>
      <c r="D110" s="132" t="e">
        <f>D101/((0.62)*(64.4*D107)^0.5)</f>
        <v>#DIV/0!</v>
      </c>
      <c r="E110" s="1" t="s">
        <v>109</v>
      </c>
      <c r="F110" s="90"/>
    </row>
    <row r="111" spans="1:6" ht="13.5" thickBot="1" x14ac:dyDescent="0.25">
      <c r="A111" s="1"/>
      <c r="B111" s="1"/>
      <c r="C111" s="127" t="s">
        <v>110</v>
      </c>
      <c r="D111" s="137" t="e">
        <f>SQRT(D110*144*4/PI())</f>
        <v>#DIV/0!</v>
      </c>
      <c r="E111" s="138" t="s">
        <v>51</v>
      </c>
      <c r="F111" s="90"/>
    </row>
    <row r="112" spans="1:6" ht="13.5" thickBot="1" x14ac:dyDescent="0.25">
      <c r="A112" s="1"/>
      <c r="B112" s="139"/>
      <c r="C112" s="140" t="s">
        <v>111</v>
      </c>
      <c r="D112" s="149"/>
      <c r="E112" s="141" t="s">
        <v>51</v>
      </c>
      <c r="F112" s="90"/>
    </row>
    <row r="113" spans="1:8" x14ac:dyDescent="0.2">
      <c r="A113" s="1"/>
      <c r="B113" s="1"/>
      <c r="C113" s="1"/>
      <c r="D113" s="185" t="e">
        <f>IF(D111&lt;=2, "Minimum diameter of 2 inches", "Round to the Nearest 1/8 inch")</f>
        <v>#DIV/0!</v>
      </c>
      <c r="E113" s="143"/>
      <c r="F113" s="90"/>
    </row>
    <row r="114" spans="1:8" ht="14.25" x14ac:dyDescent="0.25">
      <c r="A114" s="1"/>
      <c r="B114" s="1"/>
      <c r="C114" s="127" t="s">
        <v>135</v>
      </c>
      <c r="D114" s="142">
        <f>PI()/4*(D112/12)^2</f>
        <v>0</v>
      </c>
      <c r="E114" s="1" t="s">
        <v>109</v>
      </c>
      <c r="F114" s="90"/>
    </row>
    <row r="115" spans="1:8" ht="14.25" x14ac:dyDescent="0.25">
      <c r="A115" s="1"/>
      <c r="B115" s="1"/>
      <c r="C115" s="144" t="s">
        <v>138</v>
      </c>
      <c r="D115" s="145">
        <f>(PI()*(D112/2/12)^2*((0.62)*(64.4*D107)^0.5))</f>
        <v>0</v>
      </c>
      <c r="E115" s="146" t="s">
        <v>103</v>
      </c>
    </row>
    <row r="116" spans="1:8" x14ac:dyDescent="0.2">
      <c r="A116" s="1"/>
      <c r="B116" s="1"/>
      <c r="C116" s="127" t="s">
        <v>42</v>
      </c>
      <c r="D116" s="126" t="e">
        <f>(D96/D115)/3600</f>
        <v>#DIV/0!</v>
      </c>
      <c r="E116" s="1" t="s">
        <v>112</v>
      </c>
      <c r="H116" s="67"/>
    </row>
    <row r="117" spans="1:8" x14ac:dyDescent="0.2">
      <c r="A117" s="90"/>
      <c r="B117" s="90"/>
      <c r="C117" s="90"/>
      <c r="D117" s="91"/>
      <c r="E117" s="90"/>
    </row>
    <row r="119" spans="1:8" x14ac:dyDescent="0.2">
      <c r="D119" s="76"/>
    </row>
  </sheetData>
  <sheetProtection selectLockedCells="1"/>
  <dataConsolidate/>
  <mergeCells count="3">
    <mergeCell ref="B2:C2"/>
    <mergeCell ref="B3:C3"/>
    <mergeCell ref="B4:C4"/>
  </mergeCells>
  <conditionalFormatting sqref="D113:D114">
    <cfRule type="containsText" dxfId="1" priority="1" operator="containsText" text="Min">
      <formula>NOT(ISERROR(SEARCH("Min",D113)))</formula>
    </cfRule>
  </conditionalFormatting>
  <dataValidations count="3">
    <dataValidation type="list" allowBlank="1" showInputMessage="1" showErrorMessage="1" sqref="B100" xr:uid="{690C2249-BE7F-493D-B54C-6665994BC4A9}">
      <formula1>"18,19,20,21,22,23,24"</formula1>
    </dataValidation>
    <dataValidation type="list" allowBlank="1" showInputMessage="1" showErrorMessage="1" sqref="D68" xr:uid="{00000000-0002-0000-0400-000001000000}">
      <formula1>"4,6,10,12,15,18,21,24"</formula1>
    </dataValidation>
    <dataValidation type="list" allowBlank="1" showInputMessage="1" showErrorMessage="1" sqref="D71" xr:uid="{00000000-0002-0000-0400-000002000000}">
      <formula1>"0.009,0.012,0.025"</formula1>
    </dataValidation>
  </dataValidations>
  <pageMargins left="0.7" right="0.7" top="0.75" bottom="0.75" header="0.3" footer="0.3"/>
  <pageSetup scale="91" orientation="portrait" r:id="rId1"/>
  <headerFooter alignWithMargins="0">
    <oddHeader>&amp;L&amp;"Times New Roman,Regular"&amp;12Bridgeport Charter Township
Design Standards&amp;R&amp;"Times New Roman,Bold Italic"&amp;12&amp;A</oddHeader>
  </headerFooter>
  <rowBreaks count="1" manualBreakCount="1">
    <brk id="62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30"/>
  <sheetViews>
    <sheetView tabSelected="1" view="pageLayout" zoomScale="90" zoomScaleNormal="130" zoomScaleSheetLayoutView="120" zoomScalePageLayoutView="90" workbookViewId="0">
      <selection activeCell="C30" sqref="C30"/>
    </sheetView>
  </sheetViews>
  <sheetFormatPr defaultColWidth="9.140625" defaultRowHeight="12.75" x14ac:dyDescent="0.2"/>
  <cols>
    <col min="1" max="1" width="36.28515625" style="65" customWidth="1"/>
    <col min="2" max="2" width="31" style="171" customWidth="1"/>
    <col min="3" max="3" width="14.85546875" style="65" customWidth="1"/>
    <col min="4" max="16384" width="9.140625" style="65"/>
  </cols>
  <sheetData>
    <row r="2" spans="1:13" ht="13.5" x14ac:dyDescent="0.25">
      <c r="A2" s="243" t="s">
        <v>163</v>
      </c>
      <c r="B2" s="243"/>
      <c r="C2" s="243"/>
      <c r="D2" s="243"/>
    </row>
    <row r="3" spans="1:13" ht="27" customHeight="1" x14ac:dyDescent="0.2">
      <c r="A3" s="242" t="s">
        <v>153</v>
      </c>
      <c r="B3" s="242"/>
      <c r="C3" s="242"/>
      <c r="D3" s="242"/>
    </row>
    <row r="4" spans="1:13" x14ac:dyDescent="0.2">
      <c r="A4" s="205"/>
    </row>
    <row r="5" spans="1:13" s="66" customFormat="1" x14ac:dyDescent="0.2">
      <c r="A5" s="241" t="s">
        <v>121</v>
      </c>
      <c r="B5" s="241"/>
      <c r="C5" s="241"/>
      <c r="D5" s="106"/>
    </row>
    <row r="6" spans="1:13" s="66" customFormat="1" x14ac:dyDescent="0.2">
      <c r="A6" s="118" t="s">
        <v>95</v>
      </c>
      <c r="B6" s="167">
        <f>'Stormwater Calculations'!D8</f>
        <v>0</v>
      </c>
      <c r="C6" s="98" t="s">
        <v>28</v>
      </c>
      <c r="D6" s="106"/>
    </row>
    <row r="7" spans="1:13" s="66" customFormat="1" ht="14.25" x14ac:dyDescent="0.25">
      <c r="A7" s="118" t="s">
        <v>120</v>
      </c>
      <c r="B7" s="167" t="e">
        <f>'Runoff Coefficient'!D15</f>
        <v>#DIV/0!</v>
      </c>
      <c r="C7" s="119"/>
      <c r="D7" s="106"/>
    </row>
    <row r="8" spans="1:13" s="66" customFormat="1" x14ac:dyDescent="0.2">
      <c r="A8" s="119"/>
      <c r="B8" s="168"/>
      <c r="C8" s="119"/>
      <c r="D8" s="106"/>
    </row>
    <row r="9" spans="1:13" s="66" customFormat="1" ht="14.25" x14ac:dyDescent="0.25">
      <c r="A9" s="93" t="s">
        <v>50</v>
      </c>
      <c r="B9" s="107" t="s">
        <v>140</v>
      </c>
      <c r="C9" s="90"/>
      <c r="D9" s="90"/>
      <c r="L9" s="69"/>
      <c r="M9" s="70"/>
    </row>
    <row r="10" spans="1:13" s="66" customFormat="1" ht="14.25" x14ac:dyDescent="0.25">
      <c r="A10" s="93" t="s">
        <v>50</v>
      </c>
      <c r="B10" s="106" t="e">
        <f>7768*B6*B7</f>
        <v>#DIV/0!</v>
      </c>
      <c r="C10" s="90" t="s">
        <v>94</v>
      </c>
      <c r="D10" s="90"/>
      <c r="L10" s="69"/>
      <c r="M10" s="70"/>
    </row>
    <row r="11" spans="1:13" s="66" customFormat="1" x14ac:dyDescent="0.2">
      <c r="A11" s="90"/>
      <c r="B11" s="106"/>
      <c r="C11" s="93"/>
      <c r="D11" s="106"/>
      <c r="L11" s="69"/>
      <c r="M11" s="70"/>
    </row>
    <row r="12" spans="1:13" s="66" customFormat="1" x14ac:dyDescent="0.2">
      <c r="A12" s="125" t="s">
        <v>141</v>
      </c>
      <c r="B12" s="1"/>
      <c r="C12" s="127"/>
      <c r="D12" s="126"/>
      <c r="E12" s="1"/>
      <c r="L12" s="69"/>
      <c r="M12" s="70"/>
    </row>
    <row r="13" spans="1:13" s="66" customFormat="1" ht="14.25" x14ac:dyDescent="0.25">
      <c r="A13" s="69" t="s">
        <v>142</v>
      </c>
      <c r="B13" s="199">
        <v>48</v>
      </c>
      <c r="C13" s="66" t="s">
        <v>112</v>
      </c>
      <c r="L13" s="69"/>
      <c r="M13" s="70"/>
    </row>
    <row r="14" spans="1:13" s="66" customFormat="1" ht="14.25" x14ac:dyDescent="0.25">
      <c r="A14" s="127" t="s">
        <v>143</v>
      </c>
      <c r="B14" s="128" t="s">
        <v>144</v>
      </c>
      <c r="C14" s="200"/>
      <c r="L14" s="69"/>
      <c r="M14" s="70"/>
    </row>
    <row r="15" spans="1:13" s="66" customFormat="1" ht="14.25" x14ac:dyDescent="0.25">
      <c r="A15" s="127" t="s">
        <v>143</v>
      </c>
      <c r="B15" s="132" t="e">
        <f>B10/(B13*3600)</f>
        <v>#DIV/0!</v>
      </c>
      <c r="C15" s="1" t="s">
        <v>103</v>
      </c>
      <c r="L15" s="69"/>
      <c r="M15" s="70"/>
    </row>
    <row r="16" spans="1:13" s="66" customFormat="1" x14ac:dyDescent="0.2">
      <c r="A16" s="90"/>
      <c r="B16" s="106"/>
      <c r="C16" s="118"/>
      <c r="D16" s="106"/>
      <c r="L16" s="69"/>
      <c r="M16" s="70"/>
    </row>
    <row r="17" spans="1:13" s="66" customFormat="1" x14ac:dyDescent="0.2">
      <c r="A17" s="88" t="s">
        <v>59</v>
      </c>
      <c r="B17" s="91"/>
      <c r="C17" s="90"/>
      <c r="D17" s="90"/>
      <c r="L17" s="69"/>
      <c r="M17" s="70"/>
    </row>
    <row r="18" spans="1:13" s="66" customFormat="1" ht="14.25" x14ac:dyDescent="0.25">
      <c r="B18" s="91" t="s">
        <v>58</v>
      </c>
      <c r="C18" s="183"/>
      <c r="D18" s="183"/>
      <c r="L18" s="69"/>
      <c r="M18" s="70"/>
    </row>
    <row r="19" spans="1:13" s="66" customFormat="1" x14ac:dyDescent="0.2">
      <c r="A19" s="93" t="s">
        <v>123</v>
      </c>
      <c r="B19" s="111"/>
      <c r="C19" s="98" t="s">
        <v>107</v>
      </c>
      <c r="D19" s="107"/>
      <c r="L19" s="69"/>
      <c r="M19" s="70"/>
    </row>
    <row r="20" spans="1:13" s="66" customFormat="1" x14ac:dyDescent="0.2">
      <c r="A20" s="112" t="s">
        <v>122</v>
      </c>
      <c r="B20" s="197"/>
      <c r="C20" s="98" t="s">
        <v>107</v>
      </c>
      <c r="D20" s="107"/>
      <c r="L20" s="69"/>
    </row>
    <row r="21" spans="1:13" s="66" customFormat="1" ht="14.25" x14ac:dyDescent="0.25">
      <c r="A21" s="108" t="s">
        <v>49</v>
      </c>
      <c r="B21" s="169">
        <f>0.667*(B19-B20)</f>
        <v>0</v>
      </c>
      <c r="C21" s="98" t="s">
        <v>107</v>
      </c>
      <c r="D21" s="107"/>
      <c r="L21" s="69"/>
    </row>
    <row r="22" spans="1:13" s="66" customFormat="1" x14ac:dyDescent="0.2">
      <c r="A22" s="108"/>
      <c r="B22" s="170"/>
      <c r="C22" s="98"/>
      <c r="D22" s="107"/>
      <c r="L22" s="69"/>
    </row>
    <row r="23" spans="1:13" s="66" customFormat="1" ht="16.5" x14ac:dyDescent="0.25">
      <c r="A23" s="127" t="s">
        <v>145</v>
      </c>
      <c r="B23" s="128" t="s">
        <v>146</v>
      </c>
      <c r="C23" s="1"/>
      <c r="D23" s="90"/>
      <c r="K23" s="69"/>
    </row>
    <row r="24" spans="1:13" s="66" customFormat="1" ht="14.25" x14ac:dyDescent="0.25">
      <c r="A24" s="127" t="s">
        <v>145</v>
      </c>
      <c r="B24" s="132" t="e">
        <f>B15/((0.62)*(64.4*B21)^0.5)</f>
        <v>#DIV/0!</v>
      </c>
      <c r="C24" s="1" t="s">
        <v>109</v>
      </c>
      <c r="D24" s="90"/>
    </row>
    <row r="25" spans="1:13" s="66" customFormat="1" ht="13.5" thickBot="1" x14ac:dyDescent="0.25">
      <c r="A25" s="127" t="s">
        <v>147</v>
      </c>
      <c r="B25" s="137" t="e">
        <f>SQRT(B24*144*4/PI())</f>
        <v>#DIV/0!</v>
      </c>
      <c r="C25" s="138" t="s">
        <v>51</v>
      </c>
      <c r="D25" s="90"/>
      <c r="H25" s="67"/>
      <c r="K25" s="74"/>
      <c r="L25" s="71"/>
    </row>
    <row r="26" spans="1:13" s="66" customFormat="1" ht="13.5" thickBot="1" x14ac:dyDescent="0.25">
      <c r="A26" s="140" t="s">
        <v>148</v>
      </c>
      <c r="B26" s="149"/>
      <c r="C26" s="141" t="s">
        <v>51</v>
      </c>
      <c r="D26" s="106"/>
    </row>
    <row r="27" spans="1:13" s="66" customFormat="1" x14ac:dyDescent="0.2">
      <c r="A27" s="1"/>
      <c r="B27" s="142" t="e">
        <f>IF(B25&lt;=2, "Minimum diameter of 2 inches", "Round to the Nearest 1/8 inch")</f>
        <v>#DIV/0!</v>
      </c>
      <c r="C27" s="143"/>
      <c r="D27" s="106"/>
    </row>
    <row r="28" spans="1:13" s="66" customFormat="1" x14ac:dyDescent="0.2">
      <c r="A28" s="1"/>
      <c r="B28" s="126"/>
      <c r="C28" s="1"/>
      <c r="D28" s="90"/>
    </row>
    <row r="29" spans="1:13" s="66" customFormat="1" ht="14.25" x14ac:dyDescent="0.25">
      <c r="A29" s="144" t="s">
        <v>149</v>
      </c>
      <c r="B29" s="201">
        <f>(PI()*(B26/2/12)^2*((0.62)*(64.4*B21)^0.5))</f>
        <v>0</v>
      </c>
      <c r="C29" s="146" t="s">
        <v>103</v>
      </c>
      <c r="D29" s="90"/>
      <c r="K29" s="73"/>
      <c r="L29" s="72"/>
    </row>
    <row r="30" spans="1:13" s="66" customFormat="1" x14ac:dyDescent="0.2">
      <c r="A30" s="202" t="s">
        <v>150</v>
      </c>
      <c r="B30" s="203" t="e">
        <f>(B10/B29)/3600</f>
        <v>#DIV/0!</v>
      </c>
      <c r="C30" s="1" t="s">
        <v>112</v>
      </c>
      <c r="D30" s="90"/>
    </row>
  </sheetData>
  <sheetProtection selectLockedCells="1"/>
  <mergeCells count="3">
    <mergeCell ref="A5:C5"/>
    <mergeCell ref="A3:D3"/>
    <mergeCell ref="A2:D2"/>
  </mergeCells>
  <conditionalFormatting sqref="B27">
    <cfRule type="containsText" dxfId="0" priority="1" operator="containsText" text="Min">
      <formula>NOT(ISERROR(SEARCH("Min",B27)))</formula>
    </cfRule>
  </conditionalFormatting>
  <pageMargins left="0.7" right="0.7" top="0.75" bottom="0.75" header="0.3" footer="0.3"/>
  <pageSetup orientation="portrait" r:id="rId1"/>
  <headerFooter>
    <oddHeader xml:space="preserve">&amp;L&amp;"Times New Roman,Regular"&amp;12Bridgeport Charter Township
Design Standards&amp;R&amp;"Times New Roman,Bold Italic"&amp;12&amp;A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Site Description</vt:lpstr>
      <vt:lpstr>Runoff Coefficient</vt:lpstr>
      <vt:lpstr>Stormwater Calculations</vt:lpstr>
      <vt:lpstr>Bankfull Calculations</vt:lpstr>
      <vt:lpstr>'Runoff Coefficient'!Print_Area</vt:lpstr>
      <vt:lpstr>'Site Description'!Print_Area</vt:lpstr>
      <vt:lpstr>'Stormwater Calculations'!Print_Area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Storage Determination - Thomas Twp</dc:title>
  <dc:creator>Authorized Gateway Customer</dc:creator>
  <cp:lastModifiedBy>Martell, Erica A.</cp:lastModifiedBy>
  <cp:lastPrinted>2016-02-15T14:17:49Z</cp:lastPrinted>
  <dcterms:created xsi:type="dcterms:W3CDTF">1998-07-08T13:36:30Z</dcterms:created>
  <dcterms:modified xsi:type="dcterms:W3CDTF">2020-04-14T17:39:47Z</dcterms:modified>
</cp:coreProperties>
</file>