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B:\proj2001\104466.01 SASWA\reports\PCC\SWMP REVISED\City of Saginaw\"/>
    </mc:Choice>
  </mc:AlternateContent>
  <xr:revisionPtr revIDLastSave="0" documentId="13_ncr:1_{EDFEF281-2EB9-4EA4-89AE-1EAC22F7885F}" xr6:coauthVersionLast="45" xr6:coauthVersionMax="45" xr10:uidLastSave="{00000000-0000-0000-0000-000000000000}"/>
  <bookViews>
    <workbookView xWindow="-120" yWindow="-120" windowWidth="29040" windowHeight="15840" activeTab="2" xr2:uid="{B0746C27-D430-4D79-8324-2FAFD2F8FB20}"/>
  </bookViews>
  <sheets>
    <sheet name="Site Description" sheetId="8" r:id="rId1"/>
    <sheet name="Runoff Coefficient" sheetId="5" r:id="rId2"/>
    <sheet name="Stormwater Calculations" sheetId="9" r:id="rId3"/>
    <sheet name="Sheet7" sheetId="10" state="hidden" r:id="rId4"/>
  </sheets>
  <definedNames>
    <definedName name="_xlnm.Print_Area" localSheetId="1">'Runoff Coefficient'!$A$1:$E$18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0" l="1"/>
  <c r="D52" i="10" s="1"/>
  <c r="D29" i="10"/>
  <c r="D38" i="10" s="1"/>
  <c r="D47" i="10" s="1"/>
  <c r="D48" i="10" s="1"/>
  <c r="D50" i="10" s="1"/>
  <c r="D36" i="5" l="1"/>
  <c r="C35" i="5"/>
  <c r="E35" i="5" s="1"/>
  <c r="C34" i="5"/>
  <c r="E34" i="5" s="1"/>
  <c r="C33" i="5"/>
  <c r="E33" i="5" s="1"/>
  <c r="C32" i="5"/>
  <c r="E32" i="5" s="1"/>
  <c r="C31" i="5"/>
  <c r="E31" i="5" s="1"/>
  <c r="C30" i="5"/>
  <c r="E30" i="5" s="1"/>
  <c r="C29" i="5"/>
  <c r="E29" i="5" s="1"/>
  <c r="C28" i="5"/>
  <c r="E28" i="5" s="1"/>
  <c r="C27" i="5"/>
  <c r="E27" i="5" s="1"/>
  <c r="E23" i="5"/>
  <c r="J38" i="8"/>
  <c r="J37" i="8"/>
  <c r="J36" i="8"/>
  <c r="J35" i="8"/>
  <c r="J34" i="8"/>
  <c r="E36" i="5" l="1"/>
  <c r="C38" i="5" s="1"/>
  <c r="D30" i="10" s="1"/>
  <c r="D33" i="10" s="1"/>
  <c r="D53" i="10" s="1"/>
  <c r="D38" i="8"/>
  <c r="D37" i="8"/>
  <c r="D36" i="8"/>
  <c r="D35" i="8"/>
  <c r="D34" i="8"/>
  <c r="D61" i="9" l="1"/>
  <c r="D81" i="9" l="1"/>
  <c r="D60" i="9"/>
  <c r="D111" i="9"/>
  <c r="D118" i="9" s="1"/>
  <c r="D66" i="9" l="1"/>
  <c r="D15" i="9"/>
  <c r="D16" i="9"/>
  <c r="C6" i="5"/>
  <c r="C12" i="5"/>
  <c r="C13" i="5"/>
  <c r="C14" i="5"/>
  <c r="C7" i="5"/>
  <c r="C8" i="5"/>
  <c r="C9" i="5"/>
  <c r="C10" i="5"/>
  <c r="C11" i="5"/>
  <c r="E11" i="5" s="1"/>
  <c r="D13" i="9" l="1"/>
  <c r="D20" i="9" s="1"/>
  <c r="D15" i="5"/>
  <c r="D28" i="9" l="1"/>
  <c r="D24" i="9"/>
  <c r="D31" i="9" l="1"/>
  <c r="D52" i="9" s="1"/>
  <c r="D56" i="9" s="1"/>
  <c r="D71" i="9" l="1"/>
  <c r="D77" i="9" s="1"/>
  <c r="E14" i="5"/>
  <c r="E13" i="5"/>
  <c r="E12" i="5"/>
  <c r="E10" i="5"/>
  <c r="E9" i="5"/>
  <c r="E8" i="5"/>
  <c r="E7" i="5"/>
  <c r="E6" i="5"/>
  <c r="E2" i="5"/>
  <c r="E15" i="5" l="1"/>
  <c r="C17" i="5" l="1"/>
  <c r="D9" i="9" s="1"/>
  <c r="D100" i="9" l="1"/>
  <c r="D105" i="9" s="1"/>
  <c r="D114" i="9" s="1"/>
  <c r="D115" i="9" s="1"/>
  <c r="D117" i="9" s="1"/>
  <c r="D37" i="9"/>
  <c r="D40" i="9" s="1"/>
  <c r="D43" i="9" s="1"/>
  <c r="D46" i="9" s="1"/>
  <c r="D84" i="9"/>
  <c r="D87" i="9" s="1"/>
  <c r="D90" i="9" s="1"/>
  <c r="D93" i="9" s="1"/>
  <c r="D63" i="9"/>
  <c r="D64" i="9" s="1"/>
  <c r="D54" i="9"/>
  <c r="D55" i="9" s="1"/>
  <c r="D11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6" authorId="0" shapeId="0" xr:uid="{49C8B2EB-B497-4DA3-9D1C-1FD447628F1A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8" authorId="0" shapeId="0" xr:uid="{E2C8AB1C-269C-4426-A010-B652CBA6F897}">
      <text>
        <r>
          <rPr>
            <b/>
            <sz val="9"/>
            <color indexed="81"/>
            <rFont val="Tahoma"/>
            <family val="2"/>
          </rPr>
          <t>Enter value given by city engineer or leave as 10%</t>
        </r>
      </text>
    </comment>
    <comment ref="D10" authorId="0" shapeId="0" xr:uid="{7E84F4DC-DE95-4D83-AAF1-FF9FA2940443}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2" authorId="0" shapeId="0" xr:uid="{DC225335-D0AA-4EC1-ABAA-EA6A68907B9C}">
      <text>
        <r>
          <rPr>
            <b/>
            <sz val="9"/>
            <color indexed="81"/>
            <rFont val="Tahoma"/>
            <family val="2"/>
          </rPr>
          <t>Assumes velocity for overland drainage is 2.0 fps, and a lag time of 15 minutes.</t>
        </r>
      </text>
    </comment>
    <comment ref="D49" authorId="0" shapeId="0" xr:uid="{45EA70EB-F2CF-4A34-8BE5-DDEFAE9091E1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59" authorId="0" shapeId="0" xr:uid="{02DA3815-8497-4DA6-ACAC-309F2DF528C5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66" authorId="0" shapeId="0" xr:uid="{2AE11AC7-D8DD-4288-B9AA-2C32537771B2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0" authorId="0" shapeId="0" xr:uid="{2E6A28B2-80E9-4AF5-9362-F26AD8FF4B99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3" authorId="0" shapeId="0" xr:uid="{2B4EDA64-9768-47F8-8846-5F9D1C3480AB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4" authorId="0" shapeId="0" xr:uid="{60EAFBE0-F660-4AED-A98A-A36F361BEDCB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77" authorId="0" shapeId="0" xr:uid="{A814FF48-AB08-4833-A15B-7580AB760E3E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80" authorId="0" shapeId="0" xr:uid="{F57B7921-B7A2-47E7-A7B1-F88BCA08C1C1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09" authorId="0" shapeId="0" xr:uid="{1750C00F-3CC5-43C0-A7B7-63560CDB9D82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10" authorId="0" shapeId="0" xr:uid="{E18318F9-F298-4D45-82B5-36AE816BB4AC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42" authorId="0" shapeId="0" xr:uid="{5757993D-7721-4F52-9F8C-152DEC0647E0}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<sst xmlns="http://schemas.openxmlformats.org/spreadsheetml/2006/main" count="310" uniqueCount="183">
  <si>
    <t>ENGINEER:</t>
  </si>
  <si>
    <t>DATE:</t>
  </si>
  <si>
    <t>PROJECT:</t>
  </si>
  <si>
    <t>(Based on Actual Restricted Discharge)</t>
  </si>
  <si>
    <t>Vs x A x Cw</t>
  </si>
  <si>
    <t>Total Volume of Storage Required for the Site (Vt) =</t>
  </si>
  <si>
    <t>[(8160xT)/(T+20)]-(40xQoxT)</t>
  </si>
  <si>
    <t>Storage Time (T) =</t>
  </si>
  <si>
    <t xml:space="preserve">Actual Restr. Disch., Orifice or Metering Line (Qr): </t>
  </si>
  <si>
    <t>Actual Restricted Discharge (Qr) =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</si>
  <si>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</si>
  <si>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t>%</t>
  </si>
  <si>
    <t>Manning's roughness coefficient (n) =</t>
  </si>
  <si>
    <t>Diameter of Line (D) =</t>
  </si>
  <si>
    <r>
      <t>0.62*A*(2*g*H)</t>
    </r>
    <r>
      <rPr>
        <vertAlign val="superscript"/>
        <sz val="10"/>
        <rFont val="Times New Roman"/>
        <family val="1"/>
      </rPr>
      <t>1/2</t>
    </r>
  </si>
  <si>
    <t>(Center of Orifice to Maximum Ponding Elevation)</t>
  </si>
  <si>
    <t>Head Differential (dH) =</t>
  </si>
  <si>
    <t xml:space="preserve">Area of Orifice = </t>
  </si>
  <si>
    <t>Diameter of Orifice =</t>
  </si>
  <si>
    <t>Area of orifice (a) =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</si>
  <si>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</si>
  <si>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DETERMINE REQUIRED STORAGE:</t>
  </si>
  <si>
    <t>Allowable Discharge (Qa) =</t>
  </si>
  <si>
    <t>(Ci)(I)(Ai)+(Cp)(I)(Ap)</t>
  </si>
  <si>
    <t>Impervious Area Runoff Coefficient (Ci) =</t>
  </si>
  <si>
    <t>Pervious Area Runoff Coefficient (Cp) =</t>
  </si>
  <si>
    <t>Intensity (I) =</t>
  </si>
  <si>
    <t>Allowable Discharge Impervious Area (Ai) =</t>
  </si>
  <si>
    <t>Allowable Discharge Pervious Area (Ap) =</t>
  </si>
  <si>
    <t>Impervious Factor (IF) =</t>
  </si>
  <si>
    <t>DETERMINE ALLOWABLE DISCHARGE:</t>
  </si>
  <si>
    <t>PROJECT #:</t>
  </si>
  <si>
    <t>Totals =</t>
  </si>
  <si>
    <t>Area (acres)</t>
  </si>
  <si>
    <t>C</t>
  </si>
  <si>
    <t>Date:</t>
  </si>
  <si>
    <t>Location:</t>
  </si>
  <si>
    <t>Project:</t>
  </si>
  <si>
    <t>acres</t>
  </si>
  <si>
    <t>sf</t>
  </si>
  <si>
    <t xml:space="preserve">Grass </t>
  </si>
  <si>
    <t xml:space="preserve">Sidewalk </t>
  </si>
  <si>
    <t xml:space="preserve">Parking Lot </t>
  </si>
  <si>
    <t xml:space="preserve">Building Envelope </t>
  </si>
  <si>
    <t xml:space="preserve">Total Site </t>
  </si>
  <si>
    <t>REFERENCES:</t>
  </si>
  <si>
    <t>GIVEN:</t>
  </si>
  <si>
    <t>PURPOSE:</t>
  </si>
  <si>
    <t xml:space="preserve">(if applicable) </t>
  </si>
  <si>
    <t>DISTRICT:</t>
  </si>
  <si>
    <t xml:space="preserve">DRAINAGE </t>
  </si>
  <si>
    <t>RUNOFF COEFFICIENT- Proposed Conditions</t>
  </si>
  <si>
    <t>Description of Area</t>
  </si>
  <si>
    <t>C x Area</t>
  </si>
  <si>
    <t>Water</t>
  </si>
  <si>
    <t>Receiving Drain/ Storm Sewer/ Etc.:</t>
  </si>
  <si>
    <t>Length of runoff (L) =</t>
  </si>
  <si>
    <t>L/(2*60)+15</t>
  </si>
  <si>
    <t>Maximum Outflow per Contributing Acre (Qo)  =</t>
  </si>
  <si>
    <t>Max. Vol.of Storage per Acre (Vs) =</t>
  </si>
  <si>
    <t>3630 x A x Cw</t>
  </si>
  <si>
    <t>Goal is a holding time of 18 (minimum) to 24 hrs.</t>
  </si>
  <si>
    <t>Use X hrs  =</t>
  </si>
  <si>
    <t>Holding Time =</t>
  </si>
  <si>
    <t>DETERMINE RESTRICTOR AREA BASED ON ORIFICE EQUATION:</t>
  </si>
  <si>
    <t xml:space="preserve">Number of Holes Needed= </t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</si>
  <si>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</si>
  <si>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 xml:space="preserve">DETERMINE ACTUAL RESTRICTED DISCHARGE (ORIFICE EQUATION): </t>
  </si>
  <si>
    <t>DETERMINE REQUIRED STORAGE BASED ON ACTUAL RESTRICTED DISCHARGE:</t>
  </si>
  <si>
    <t>Maximum Outflow per Acre (Qo)  =</t>
  </si>
  <si>
    <t xml:space="preserve">Runoff Coefficient </t>
  </si>
  <si>
    <t>Cw = Total CxArea/Total Area =</t>
  </si>
  <si>
    <t>Max. Vol. of Storage per Acre (Vs) =</t>
  </si>
  <si>
    <t>Maximum Circular Orifice Diameter =</t>
  </si>
  <si>
    <t>10% - Obtained from City Engineer</t>
  </si>
  <si>
    <t>feet</t>
  </si>
  <si>
    <t>minutes</t>
  </si>
  <si>
    <t>inches/ hour</t>
  </si>
  <si>
    <t>Residential - Single-family areas</t>
  </si>
  <si>
    <t>Residential - Multi-units, detached</t>
  </si>
  <si>
    <t>Residential - Multi-units, attached</t>
  </si>
  <si>
    <t>Residential - Suburban</t>
  </si>
  <si>
    <t>Apartment dwelling areas</t>
  </si>
  <si>
    <t>Business - Downtown area</t>
  </si>
  <si>
    <t>Industrial - Light areas</t>
  </si>
  <si>
    <t>Industrial - Heavy areas</t>
  </si>
  <si>
    <t>Parks, cemeteries</t>
  </si>
  <si>
    <t>Railroad yard areas</t>
  </si>
  <si>
    <t>Unimproved areas</t>
  </si>
  <si>
    <t>Playgrounds</t>
  </si>
  <si>
    <t>Streets - Asphalt or concrete</t>
  </si>
  <si>
    <t>Streets - Brick</t>
  </si>
  <si>
    <t>Roofs</t>
  </si>
  <si>
    <t>Lawns - Sandy soils, flat (2%)</t>
  </si>
  <si>
    <t>Lawns - Sandy soils, average (2 to 7%)</t>
  </si>
  <si>
    <t>Lawns - Heavy soils, flat (2%)</t>
  </si>
  <si>
    <t>Lawns - Heavy soils, average (2 to 7%)</t>
  </si>
  <si>
    <t>Lawns - Sandy soils, steep (7%)</t>
  </si>
  <si>
    <t>Lawns - Heavy soils, steep (7%)</t>
  </si>
  <si>
    <t>cfs</t>
  </si>
  <si>
    <t>cubic feet</t>
  </si>
  <si>
    <t>square feet</t>
  </si>
  <si>
    <t>inches</t>
  </si>
  <si>
    <t>holes</t>
  </si>
  <si>
    <t>cfs / acre</t>
  </si>
  <si>
    <t>cubic feet / acre</t>
  </si>
  <si>
    <t>hrs</t>
  </si>
  <si>
    <t>Contributing Drainage Area  (A)=</t>
  </si>
  <si>
    <r>
      <t>Total Impervious Area [existing &amp; proposed]  (A</t>
    </r>
    <r>
      <rPr>
        <vertAlign val="subscript"/>
        <sz val="10"/>
        <rFont val="Times New Roman"/>
        <family val="1"/>
      </rPr>
      <t>imp</t>
    </r>
    <r>
      <rPr>
        <sz val="10"/>
        <rFont val="Times New Roman"/>
        <family val="1"/>
      </rPr>
      <t>)=</t>
    </r>
  </si>
  <si>
    <r>
      <t>Qa/ A</t>
    </r>
    <r>
      <rPr>
        <vertAlign val="subscript"/>
        <sz val="10"/>
        <rFont val="Times New Roman"/>
        <family val="1"/>
      </rPr>
      <t>imp</t>
    </r>
    <r>
      <rPr>
        <sz val="10"/>
        <rFont val="Times New Roman"/>
        <family val="1"/>
      </rPr>
      <t>*Cw</t>
    </r>
  </si>
  <si>
    <t>WQ Volume=</t>
  </si>
  <si>
    <t>DETERMINATION OF WQ RELEASE RATE:</t>
  </si>
  <si>
    <r>
      <t>hrs holding time Q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= </t>
    </r>
  </si>
  <si>
    <r>
      <t>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= </t>
    </r>
  </si>
  <si>
    <t>DETERMINE AREA OF WQ ORIFICE:</t>
  </si>
  <si>
    <r>
      <t>WQ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</si>
  <si>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WQ - elevation WQ orifice invert)</t>
  </si>
  <si>
    <t>Elevation WQ =</t>
  </si>
  <si>
    <t>Elevation WQ orifice invert =</t>
  </si>
  <si>
    <r>
      <t>Q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</si>
  <si>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t>Diameter of WQ Orifice =</t>
  </si>
  <si>
    <t>Actual Diameter of WQ Orifice =</t>
  </si>
  <si>
    <r>
      <t>V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/ (X*3600)</t>
    </r>
  </si>
  <si>
    <r>
      <t>Q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= </t>
    </r>
  </si>
  <si>
    <t xml:space="preserve">Volume of Storage Provided  = </t>
  </si>
  <si>
    <r>
      <t>Actual Q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=</t>
    </r>
  </si>
  <si>
    <r>
      <t>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 = </t>
    </r>
  </si>
  <si>
    <t>Slope of Hydraulic Grade Line (s) =</t>
  </si>
  <si>
    <r>
      <t>(4080/Qo)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- 20</t>
    </r>
  </si>
  <si>
    <t>2)  Parcel #:</t>
  </si>
  <si>
    <t>1)  Site Address</t>
  </si>
  <si>
    <t>3)  Zoned:</t>
  </si>
  <si>
    <t>4)  Design Storm:</t>
  </si>
  <si>
    <t>5)  Impervious Factor:</t>
  </si>
  <si>
    <t>DETERMINE REQUIRED WATER QUALITY VOLUME:</t>
  </si>
  <si>
    <t xml:space="preserve"> </t>
  </si>
  <si>
    <t>Provide a description of site conditions or drainage strategies for reviewer</t>
  </si>
  <si>
    <t>SITE STATISTICS:</t>
  </si>
  <si>
    <t>SITE DRAINAGE SUMMARY:</t>
  </si>
  <si>
    <t>PROJECT NAME:</t>
  </si>
  <si>
    <t>ac</t>
  </si>
  <si>
    <t>(Type of development or describe project)</t>
  </si>
  <si>
    <t>Storm Water Management Plan - City of Saginaw 2018</t>
  </si>
  <si>
    <t xml:space="preserve">Existing Conditions </t>
  </si>
  <si>
    <t xml:space="preserve">Proposed Conditions </t>
  </si>
  <si>
    <t>Designed Holding Time =</t>
  </si>
  <si>
    <r>
      <t>Actual 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</si>
  <si>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t>Actual Diameter of CP Orifice =</t>
  </si>
  <si>
    <t>Diameter of CP Orifice =</t>
  </si>
  <si>
    <r>
      <t>Area of Channel Protection Orifice (A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</si>
  <si>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ave,cp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</si>
  <si>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t>Elevation Orifice Invert =</t>
  </si>
  <si>
    <r>
      <t xml:space="preserve">  Channel Protection Release Rate (Q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</si>
  <si>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t>DETERMINATION OF CP RELEASE RATE:</t>
  </si>
  <si>
    <r>
      <t>7768*A*C</t>
    </r>
    <r>
      <rPr>
        <vertAlign val="subscript"/>
        <sz val="10"/>
        <rFont val="Times New Roman"/>
        <family val="1"/>
      </rPr>
      <t>w Ex</t>
    </r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</si>
  <si>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</si>
  <si>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t xml:space="preserve">For Channel Protection Criteria </t>
  </si>
  <si>
    <t>(Discuss with City Engineer if site needs this requirement)</t>
  </si>
  <si>
    <t xml:space="preserve">Weighted runoff Coefficient (Cw) = </t>
  </si>
  <si>
    <r>
      <t>Time of Concentration (t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) =</t>
    </r>
  </si>
  <si>
    <r>
      <t>175/(25+t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)</t>
    </r>
  </si>
  <si>
    <r>
      <t>136/(20+t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)</t>
    </r>
  </si>
  <si>
    <r>
      <t>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&gt;30 min.</t>
    </r>
  </si>
  <si>
    <r>
      <t>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&lt;=30 min.</t>
    </r>
  </si>
  <si>
    <r>
      <t>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/(80+4t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)</t>
    </r>
  </si>
  <si>
    <r>
      <t>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/(8+t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)</t>
    </r>
  </si>
  <si>
    <t>Complete if using a metering line to restrict flow</t>
  </si>
  <si>
    <t>DETERMINE ACTUAL RESTRICTED DISCHARGE (METERING LINE):</t>
  </si>
  <si>
    <t xml:space="preserve">Note: This is only required if discharging to surface waters (i.e. Saginaw River or open county drain) </t>
  </si>
  <si>
    <t>Note that the WQ volume is incorporated into the CP calculations and additional storage/ orifice for WQ is not required</t>
  </si>
  <si>
    <r>
      <t>Contributing Drainage Area (A</t>
    </r>
    <r>
      <rPr>
        <vertAlign val="subscript"/>
        <sz val="10"/>
        <rFont val="Times New Roman"/>
        <family val="1"/>
      </rPr>
      <t xml:space="preserve">site </t>
    </r>
    <r>
      <rPr>
        <sz val="10"/>
        <rFont val="Times New Roman"/>
        <family val="1"/>
      </rPr>
      <t>or A) =</t>
    </r>
  </si>
  <si>
    <r>
      <t>CP Volume (V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</si>
  <si>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t>DETERMINE AREA OF CP ORIFICE:</t>
  </si>
  <si>
    <r>
      <t>CP Head Differential (h</t>
    </r>
    <r>
      <rPr>
        <vertAlign val="subscript"/>
        <sz val="10"/>
        <rFont val="Times New Roman"/>
        <family val="1"/>
      </rPr>
      <t>ave, cp</t>
    </r>
    <r>
      <rPr>
        <sz val="10"/>
        <rFont val="Times New Roman"/>
        <family val="1"/>
      </rPr>
      <t>) =</t>
    </r>
  </si>
  <si>
    <t>0.667*(elevation CP - elevation orifice invert)</t>
  </si>
  <si>
    <t>Elevation Channel Protection =</t>
  </si>
  <si>
    <t xml:space="preserve">ft           </t>
  </si>
  <si>
    <r>
      <t>H</t>
    </r>
    <r>
      <rPr>
        <b/>
        <vertAlign val="subscript"/>
        <sz val="10"/>
        <rFont val="Times New Roman"/>
        <family val="1"/>
      </rPr>
      <t>ave,cp</t>
    </r>
    <r>
      <rPr>
        <b/>
        <sz val="10"/>
        <rFont val="Times New Roman"/>
        <family val="1"/>
      </rPr>
      <t xml:space="preserve"> = </t>
    </r>
  </si>
  <si>
    <t xml:space="preserve">Unit Allowable Discharge (qa) = </t>
  </si>
  <si>
    <t>cfs/acre</t>
  </si>
  <si>
    <t>A*qa</t>
  </si>
  <si>
    <t>RUNOFF COEFFICIENT- Existing/ Current Conditions</t>
  </si>
  <si>
    <r>
      <t>CHANNEL PROTECTION CRITERIA:</t>
    </r>
    <r>
      <rPr>
        <b/>
        <sz val="10"/>
        <color rgb="FFFF0000"/>
        <rFont val="Times New Roman"/>
        <family val="1"/>
      </rPr>
      <t xml:space="preserve"> Contact the City Engineer to determine if site needs this requirement or please see Section Goals for Water Quality Requirements (pg. 5) of the Storm Water Management Plan - City of Saginaw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</si>
</sst>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#,##0.0000"/>
    <numFmt numFmtId="168" formatCode="#,##0.00000"/>
    <numFmt numFmtId="169" formatCode="0;\-0;;@"/>
    <numFmt numFmtId="170" formatCode="0.0000;\-0.0000;;@"/>
  </numFmts>
  <fonts count="28" x14ac:knownFonts="1">
    <font>
      <sz val="11"/>
      <color theme="1"/>
      <name val="Times New Roman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1"/>
      <name val="Garamond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  <scheme val="minor"/>
    </font>
    <font>
      <sz val="11"/>
      <name val="Times New Roman"/>
      <family val="1"/>
      <scheme val="minor"/>
    </font>
    <font>
      <b/>
      <sz val="11"/>
      <name val="Times New Roman"/>
      <family val="1"/>
      <scheme val="minor"/>
    </font>
    <font>
      <sz val="12"/>
      <name val="Times New Roman"/>
      <family val="1"/>
      <scheme val="minor"/>
    </font>
    <font>
      <b/>
      <u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2"/>
      <name val="Times New Roman"/>
      <family val="1"/>
      <scheme val="minor"/>
    </font>
    <font>
      <b/>
      <vertAlign val="subscript"/>
      <sz val="1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9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3" fontId="2" fillId="0" borderId="0" xfId="2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9" fontId="3" fillId="0" borderId="0" xfId="3" applyFont="1"/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4" xfId="0" applyFont="1" applyBorder="1"/>
    <xf numFmtId="2" fontId="3" fillId="0" borderId="0" xfId="0" applyNumberFormat="1" applyFont="1"/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2" fillId="0" borderId="0" xfId="0" applyNumberFormat="1" applyFont="1"/>
    <xf numFmtId="2" fontId="7" fillId="0" borderId="14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0" xfId="0" applyFont="1"/>
    <xf numFmtId="0" fontId="8" fillId="0" borderId="0" xfId="0" applyFont="1" applyAlignment="1">
      <alignment horizontal="right"/>
    </xf>
    <xf numFmtId="2" fontId="8" fillId="0" borderId="8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4" xfId="0" applyNumberFormat="1" applyFont="1" applyBorder="1"/>
    <xf numFmtId="2" fontId="12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4" fillId="4" borderId="0" xfId="0" applyFont="1" applyFill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right"/>
    </xf>
    <xf numFmtId="0" fontId="3" fillId="6" borderId="0" xfId="0" applyFont="1" applyFill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10" fontId="3" fillId="6" borderId="0" xfId="3" applyNumberFormat="1" applyFont="1" applyFill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0" xfId="0" applyFont="1" applyBorder="1"/>
    <xf numFmtId="0" fontId="3" fillId="0" borderId="19" xfId="0" applyFont="1" applyBorder="1" applyAlignment="1">
      <alignment horizontal="right"/>
    </xf>
    <xf numFmtId="164" fontId="2" fillId="0" borderId="19" xfId="0" applyNumberFormat="1" applyFont="1" applyBorder="1" applyAlignment="1">
      <alignment horizontal="center"/>
    </xf>
    <xf numFmtId="0" fontId="3" fillId="0" borderId="18" xfId="0" applyFont="1" applyBorder="1"/>
    <xf numFmtId="1" fontId="3" fillId="0" borderId="0" xfId="0" applyNumberFormat="1" applyFont="1"/>
    <xf numFmtId="0" fontId="3" fillId="0" borderId="19" xfId="0" applyFont="1" applyBorder="1"/>
    <xf numFmtId="3" fontId="2" fillId="0" borderId="19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right"/>
    </xf>
    <xf numFmtId="0" fontId="3" fillId="6" borderId="10" xfId="0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19" fillId="0" borderId="0" xfId="0" applyFont="1"/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5" fontId="3" fillId="6" borderId="0" xfId="0" applyNumberFormat="1" applyFont="1" applyFill="1" applyAlignment="1" applyProtection="1">
      <alignment horizontal="center"/>
      <protection locked="0"/>
    </xf>
    <xf numFmtId="164" fontId="3" fillId="6" borderId="0" xfId="0" applyNumberFormat="1" applyFont="1" applyFill="1" applyAlignment="1" applyProtection="1">
      <alignment horizontal="center"/>
      <protection locked="0"/>
    </xf>
    <xf numFmtId="10" fontId="3" fillId="0" borderId="0" xfId="3" applyNumberFormat="1" applyFont="1" applyAlignment="1" applyProtection="1">
      <alignment horizont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2" fontId="9" fillId="6" borderId="13" xfId="0" applyNumberFormat="1" applyFont="1" applyFill="1" applyBorder="1" applyAlignment="1">
      <alignment horizontal="center"/>
    </xf>
    <xf numFmtId="2" fontId="9" fillId="6" borderId="11" xfId="0" applyNumberFormat="1" applyFont="1" applyFill="1" applyBorder="1" applyAlignment="1">
      <alignment horizontal="center"/>
    </xf>
    <xf numFmtId="2" fontId="9" fillId="6" borderId="1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14" fontId="7" fillId="0" borderId="4" xfId="0" applyNumberFormat="1" applyFont="1" applyBorder="1" applyAlignment="1">
      <alignment horizontal="center"/>
    </xf>
    <xf numFmtId="2" fontId="3" fillId="6" borderId="0" xfId="0" applyNumberFormat="1" applyFont="1" applyFill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169" fontId="3" fillId="0" borderId="0" xfId="0" applyNumberFormat="1" applyFont="1" applyAlignment="1">
      <alignment horizontal="right"/>
    </xf>
    <xf numFmtId="169" fontId="3" fillId="0" borderId="0" xfId="0" applyNumberFormat="1" applyFont="1"/>
    <xf numFmtId="0" fontId="17" fillId="0" borderId="0" xfId="0" applyFont="1" applyFill="1"/>
    <xf numFmtId="0" fontId="2" fillId="6" borderId="13" xfId="0" applyFont="1" applyFill="1" applyBorder="1"/>
    <xf numFmtId="0" fontId="1" fillId="0" borderId="25" xfId="0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1" fillId="0" borderId="2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6" borderId="0" xfId="0" applyNumberFormat="1" applyFont="1" applyFill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6" borderId="19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2" fontId="14" fillId="0" borderId="0" xfId="0" applyNumberFormat="1" applyFont="1" applyFill="1"/>
    <xf numFmtId="0" fontId="8" fillId="0" borderId="19" xfId="0" applyFont="1" applyBorder="1" applyAlignment="1">
      <alignment horizontal="center"/>
    </xf>
    <xf numFmtId="0" fontId="22" fillId="0" borderId="0" xfId="0" applyFont="1" applyFill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4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2" fillId="0" borderId="0" xfId="0" applyFont="1"/>
    <xf numFmtId="0" fontId="26" fillId="0" borderId="0" xfId="0" applyFont="1"/>
    <xf numFmtId="2" fontId="3" fillId="4" borderId="0" xfId="1" applyNumberFormat="1" applyFont="1" applyFill="1" applyAlignment="1" applyProtection="1">
      <alignment horizontal="center"/>
      <protection locked="0"/>
    </xf>
    <xf numFmtId="0" fontId="3" fillId="4" borderId="0" xfId="1" applyFont="1" applyFill="1" applyAlignment="1">
      <alignment horizontal="center"/>
    </xf>
    <xf numFmtId="4" fontId="2" fillId="4" borderId="19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10" xfId="0" applyNumberFormat="1" applyFont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23" fillId="0" borderId="0" xfId="0" applyFont="1" applyAlignment="1">
      <alignment horizontal="left" vertical="top" wrapText="1"/>
    </xf>
    <xf numFmtId="0" fontId="23" fillId="0" borderId="13" xfId="0" applyFont="1" applyBorder="1" applyAlignment="1">
      <alignment horizontal="center"/>
    </xf>
    <xf numFmtId="0" fontId="16" fillId="4" borderId="0" xfId="0" applyFont="1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4" fillId="4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14" fontId="14" fillId="5" borderId="0" xfId="0" applyNumberFormat="1" applyFont="1" applyFill="1" applyAlignment="1">
      <alignment horizontal="left"/>
    </xf>
    <xf numFmtId="0" fontId="25" fillId="0" borderId="0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7" fillId="6" borderId="16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0" borderId="0" xfId="0" applyFont="1" applyAlignment="1">
      <alignment horizontal="center" wrapText="1"/>
    </xf>
  </cellXfs>
  <cellStyles count="5">
    <cellStyle name="Comma 2" xfId="2" xr:uid="{6549D857-9909-4D23-86B9-FCFBC8554490}"/>
    <cellStyle name="Normal" xfId="0" builtinId="0"/>
    <cellStyle name="Normal 2" xfId="1" xr:uid="{8CEED829-0813-40B6-93EF-41210B2EF9FD}"/>
    <cellStyle name="Normal 3" xfId="4" xr:uid="{017EBC93-1442-4F19-82F6-0CB43B134E15}"/>
    <cellStyle name="Percent 2" xfId="3" xr:uid="{BF39C641-713F-4A64-8E4E-12F27364C1A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2</xdr:row>
      <xdr:rowOff>66675</xdr:rowOff>
    </xdr:from>
    <xdr:to>
      <xdr:col>9</xdr:col>
      <xdr:colOff>428625</xdr:colOff>
      <xdr:row>2</xdr:row>
      <xdr:rowOff>66675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A08BF73-6525-480D-9887-F5E94A659F24}"/>
            </a:ext>
          </a:extLst>
        </xdr:cNvPr>
        <xdr:cNvSpPr>
          <a:spLocks noChangeShapeType="1"/>
        </xdr:cNvSpPr>
      </xdr:nvSpPr>
      <xdr:spPr bwMode="auto">
        <a:xfrm>
          <a:off x="971550" y="447675"/>
          <a:ext cx="4810125" cy="0"/>
        </a:xfrm>
        <a:prstGeom prst="line">
          <a:avLst/>
        </a:prstGeom>
        <a:noFill/>
        <a:ln w="9525">
          <a:solidFill>
            <a:srgbClr val="663300"/>
          </a:solidFill>
          <a:round/>
          <a:headEnd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49</xdr:row>
      <xdr:rowOff>85725</xdr:rowOff>
    </xdr:from>
    <xdr:to>
      <xdr:col>9</xdr:col>
      <xdr:colOff>590550</xdr:colOff>
      <xdr:row>49</xdr:row>
      <xdr:rowOff>85725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A1DE9974-3DA0-419D-B695-09365ECF57F4}"/>
            </a:ext>
          </a:extLst>
        </xdr:cNvPr>
        <xdr:cNvSpPr>
          <a:spLocks noChangeShapeType="1"/>
        </xdr:cNvSpPr>
      </xdr:nvSpPr>
      <xdr:spPr bwMode="auto">
        <a:xfrm>
          <a:off x="66675" y="9010650"/>
          <a:ext cx="5876925" cy="0"/>
        </a:xfrm>
        <a:prstGeom prst="line">
          <a:avLst/>
        </a:prstGeom>
        <a:noFill/>
        <a:ln w="9525">
          <a:solidFill>
            <a:srgbClr val="6633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28575</xdr:rowOff>
    </xdr:from>
    <xdr:to>
      <xdr:col>0</xdr:col>
      <xdr:colOff>876300</xdr:colOff>
      <xdr:row>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4BDFEA0-5077-4D43-9146-8C61CAD7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ASWA">
  <a:themeElements>
    <a:clrScheme name="SASWA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6DA1A3"/>
      </a:accent1>
      <a:accent2>
        <a:srgbClr val="498A8C"/>
      </a:accent2>
      <a:accent3>
        <a:srgbClr val="254546"/>
      </a:accent3>
      <a:accent4>
        <a:srgbClr val="636363"/>
      </a:accent4>
      <a:accent5>
        <a:srgbClr val="8DB27F"/>
      </a:accent5>
      <a:accent6>
        <a:srgbClr val="AFCE9F"/>
      </a:accent6>
      <a:hlink>
        <a:srgbClr val="498A8C"/>
      </a:hlink>
      <a:folHlink>
        <a:srgbClr val="F4643F"/>
      </a:folHlink>
    </a:clrScheme>
    <a:fontScheme name="Times New Roman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B5B0-1F5D-41BD-B39F-1953102A9DA8}">
  <sheetPr>
    <pageSetUpPr fitToPage="1"/>
  </sheetPr>
  <dimension ref="A5:K50"/>
  <sheetViews>
    <sheetView view="pageLayout" topLeftCell="A19" zoomScale="80" zoomScaleNormal="100" zoomScalePageLayoutView="80" workbookViewId="0">
      <selection activeCell="B29" sqref="B29:H29"/>
    </sheetView>
  </sheetViews>
  <sheetFormatPr defaultRowHeight="15" x14ac:dyDescent="0.25"/>
  <cols>
    <col min="1" max="1" width="17.7109375" style="40" customWidth="1"/>
    <col min="2" max="2" width="16" style="40" customWidth="1"/>
    <col min="3" max="3" width="4.42578125" style="40" customWidth="1"/>
    <col min="4" max="4" width="8.5703125" style="40" customWidth="1"/>
    <col min="5" max="5" width="3" style="40" bestFit="1" customWidth="1"/>
    <col min="6" max="6" width="2.85546875" style="40" customWidth="1"/>
    <col min="7" max="7" width="18" style="40" customWidth="1"/>
    <col min="8" max="8" width="13.42578125" style="40" customWidth="1"/>
    <col min="9" max="9" width="2.5703125" style="40" bestFit="1" customWidth="1"/>
    <col min="10" max="10" width="9.140625" style="40"/>
    <col min="11" max="11" width="3" style="40" bestFit="1" customWidth="1"/>
    <col min="12" max="16384" width="9.140625" style="40"/>
  </cols>
  <sheetData>
    <row r="5" spans="1:10" ht="8.25" customHeight="1" x14ac:dyDescent="0.25"/>
    <row r="6" spans="1:10" ht="15.75" x14ac:dyDescent="0.25">
      <c r="A6" s="41" t="s">
        <v>139</v>
      </c>
      <c r="B6" s="171"/>
      <c r="C6" s="171"/>
      <c r="D6" s="171"/>
      <c r="E6" s="171"/>
      <c r="F6" s="171"/>
      <c r="G6" s="171"/>
      <c r="H6" s="171"/>
      <c r="I6" s="42"/>
      <c r="J6" s="42"/>
    </row>
    <row r="7" spans="1:10" ht="15.75" x14ac:dyDescent="0.25">
      <c r="A7" s="41" t="s">
        <v>31</v>
      </c>
      <c r="B7" s="171"/>
      <c r="C7" s="171"/>
      <c r="D7" s="171"/>
      <c r="E7" s="171"/>
      <c r="F7" s="171"/>
      <c r="G7" s="171"/>
      <c r="H7" s="171"/>
      <c r="I7" s="42"/>
      <c r="J7" s="42"/>
    </row>
    <row r="8" spans="1:10" ht="15.75" x14ac:dyDescent="0.25">
      <c r="A8" s="41" t="s">
        <v>1</v>
      </c>
      <c r="B8" s="172"/>
      <c r="C8" s="171"/>
      <c r="D8" s="171"/>
      <c r="E8" s="171"/>
      <c r="F8" s="171"/>
      <c r="G8" s="171"/>
      <c r="H8" s="171"/>
      <c r="I8" s="42"/>
      <c r="J8" s="42"/>
    </row>
    <row r="9" spans="1:10" ht="15.75" x14ac:dyDescent="0.25">
      <c r="A9" s="41" t="s">
        <v>0</v>
      </c>
      <c r="B9" s="171"/>
      <c r="C9" s="171"/>
      <c r="D9" s="171"/>
      <c r="E9" s="171"/>
      <c r="F9" s="171"/>
      <c r="G9" s="171"/>
      <c r="H9" s="171"/>
      <c r="I9" s="42"/>
      <c r="J9" s="42"/>
    </row>
    <row r="10" spans="1:10" ht="15.75" x14ac:dyDescent="0.25">
      <c r="A10" s="41"/>
      <c r="B10" s="43"/>
      <c r="C10" s="43"/>
      <c r="D10" s="43"/>
      <c r="E10" s="43"/>
      <c r="F10" s="43"/>
      <c r="G10" s="43"/>
      <c r="H10" s="43"/>
      <c r="I10" s="42"/>
      <c r="J10" s="42"/>
    </row>
    <row r="11" spans="1:10" ht="15.75" x14ac:dyDescent="0.25">
      <c r="A11" s="41" t="s">
        <v>50</v>
      </c>
      <c r="B11" s="168"/>
      <c r="C11" s="168"/>
      <c r="D11" s="168"/>
      <c r="E11" s="43"/>
      <c r="F11" s="43"/>
      <c r="G11" s="43"/>
      <c r="H11" s="43"/>
      <c r="I11" s="42"/>
      <c r="J11" s="42"/>
    </row>
    <row r="12" spans="1:10" ht="15.75" x14ac:dyDescent="0.25">
      <c r="A12" s="41" t="s">
        <v>49</v>
      </c>
      <c r="B12" s="168"/>
      <c r="C12" s="168"/>
      <c r="D12" s="168"/>
      <c r="E12" s="43"/>
      <c r="F12" s="43"/>
      <c r="G12" s="43"/>
      <c r="H12" s="43"/>
      <c r="I12" s="42"/>
      <c r="J12" s="42"/>
    </row>
    <row r="13" spans="1:10" ht="15.75" x14ac:dyDescent="0.25">
      <c r="A13" s="138" t="s">
        <v>48</v>
      </c>
      <c r="E13" s="43"/>
      <c r="F13" s="43"/>
      <c r="G13" s="43"/>
      <c r="H13" s="43"/>
      <c r="I13" s="42"/>
      <c r="J13" s="42"/>
    </row>
    <row r="14" spans="1:10" ht="15.75" x14ac:dyDescent="0.25">
      <c r="A14" s="41"/>
      <c r="B14" s="43"/>
      <c r="C14" s="43"/>
      <c r="D14" s="43"/>
      <c r="E14" s="43"/>
      <c r="F14" s="43"/>
      <c r="G14" s="43"/>
      <c r="H14" s="43"/>
      <c r="I14" s="42"/>
      <c r="J14" s="42"/>
    </row>
    <row r="15" spans="1:10" ht="15.75" x14ac:dyDescent="0.25">
      <c r="A15" s="41" t="s">
        <v>47</v>
      </c>
      <c r="B15" s="169"/>
      <c r="C15" s="169"/>
      <c r="D15" s="169"/>
      <c r="E15" s="169"/>
      <c r="F15" s="169"/>
      <c r="G15" s="169"/>
      <c r="H15" s="169"/>
      <c r="I15" s="169"/>
      <c r="J15" s="42"/>
    </row>
    <row r="16" spans="1:10" ht="15.75" customHeight="1" x14ac:dyDescent="0.25">
      <c r="A16" s="161" t="s">
        <v>141</v>
      </c>
      <c r="B16" s="169"/>
      <c r="C16" s="169"/>
      <c r="D16" s="169"/>
      <c r="E16" s="169"/>
      <c r="F16" s="169"/>
      <c r="G16" s="169"/>
      <c r="H16" s="169"/>
      <c r="I16" s="169"/>
      <c r="J16" s="42"/>
    </row>
    <row r="17" spans="1:10" ht="15.75" customHeight="1" x14ac:dyDescent="0.25">
      <c r="A17" s="161"/>
      <c r="B17" s="169"/>
      <c r="C17" s="169"/>
      <c r="D17" s="169"/>
      <c r="E17" s="169"/>
      <c r="F17" s="169"/>
      <c r="G17" s="169"/>
      <c r="H17" s="169"/>
      <c r="I17" s="169"/>
      <c r="J17" s="42"/>
    </row>
    <row r="18" spans="1:10" ht="15.75" customHeight="1" x14ac:dyDescent="0.25">
      <c r="A18" s="161"/>
      <c r="B18" s="169"/>
      <c r="C18" s="169"/>
      <c r="D18" s="169"/>
      <c r="E18" s="169"/>
      <c r="F18" s="169"/>
      <c r="G18" s="169"/>
      <c r="H18" s="169"/>
      <c r="I18" s="169"/>
      <c r="J18" s="42"/>
    </row>
    <row r="19" spans="1:10" ht="15.75" customHeight="1" x14ac:dyDescent="0.25">
      <c r="A19" s="161"/>
      <c r="B19" s="169"/>
      <c r="C19" s="169"/>
      <c r="D19" s="169"/>
      <c r="E19" s="169"/>
      <c r="F19" s="169"/>
      <c r="G19" s="169"/>
      <c r="H19" s="169"/>
      <c r="I19" s="169"/>
      <c r="J19" s="42"/>
    </row>
    <row r="20" spans="1:10" ht="15.75" x14ac:dyDescent="0.25">
      <c r="A20" s="130"/>
      <c r="B20" s="169"/>
      <c r="C20" s="169"/>
      <c r="D20" s="169"/>
      <c r="E20" s="169"/>
      <c r="F20" s="169"/>
      <c r="G20" s="169"/>
      <c r="H20" s="169"/>
      <c r="I20" s="169"/>
      <c r="J20" s="42"/>
    </row>
    <row r="21" spans="1:10" ht="15.75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15.75" x14ac:dyDescent="0.25">
      <c r="A22" s="41" t="s">
        <v>46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5.75" x14ac:dyDescent="0.25">
      <c r="A23" s="44"/>
      <c r="B23" s="128" t="s">
        <v>130</v>
      </c>
      <c r="C23" s="42"/>
      <c r="D23" s="166"/>
      <c r="E23" s="166"/>
      <c r="F23" s="166"/>
      <c r="G23" s="166"/>
      <c r="H23" s="166"/>
      <c r="I23" s="160"/>
      <c r="J23" s="160"/>
    </row>
    <row r="24" spans="1:10" ht="15.75" x14ac:dyDescent="0.25">
      <c r="A24" s="44"/>
      <c r="B24" s="45" t="s">
        <v>129</v>
      </c>
      <c r="C24" s="42"/>
      <c r="D24" s="166"/>
      <c r="E24" s="166"/>
      <c r="F24" s="166"/>
      <c r="G24" s="166"/>
      <c r="H24" s="166"/>
      <c r="I24" s="42"/>
      <c r="J24" s="42"/>
    </row>
    <row r="25" spans="1:10" ht="15.75" x14ac:dyDescent="0.25">
      <c r="A25" s="44"/>
      <c r="B25" s="45" t="s">
        <v>131</v>
      </c>
      <c r="C25" s="42"/>
      <c r="D25" s="166"/>
      <c r="E25" s="166"/>
      <c r="F25" s="166"/>
      <c r="G25" s="166"/>
      <c r="H25" s="166"/>
      <c r="I25" s="42"/>
      <c r="J25" s="42"/>
    </row>
    <row r="26" spans="1:10" ht="15.75" x14ac:dyDescent="0.25">
      <c r="A26" s="44"/>
      <c r="B26" s="45" t="s">
        <v>132</v>
      </c>
      <c r="C26" s="42"/>
      <c r="D26" s="166"/>
      <c r="E26" s="166"/>
      <c r="F26" s="166"/>
      <c r="G26" s="166"/>
      <c r="H26" s="166"/>
      <c r="I26" s="42"/>
      <c r="J26" s="42"/>
    </row>
    <row r="27" spans="1:10" ht="15.75" x14ac:dyDescent="0.25">
      <c r="A27" s="44"/>
      <c r="B27" s="45" t="s">
        <v>133</v>
      </c>
      <c r="C27" s="42"/>
      <c r="D27" s="166" t="s">
        <v>74</v>
      </c>
      <c r="E27" s="166"/>
      <c r="F27" s="166"/>
      <c r="G27" s="166"/>
      <c r="H27" s="166"/>
      <c r="I27" s="42"/>
      <c r="J27" s="42"/>
    </row>
    <row r="28" spans="1:10" ht="15.75" x14ac:dyDescent="0.25">
      <c r="A28" s="44"/>
      <c r="B28" s="128"/>
      <c r="C28" s="129"/>
      <c r="D28" s="170"/>
      <c r="E28" s="170"/>
      <c r="F28" s="170"/>
      <c r="G28" s="170"/>
      <c r="H28" s="170"/>
      <c r="I28" s="42"/>
      <c r="J28" s="42"/>
    </row>
    <row r="29" spans="1:10" ht="15.75" x14ac:dyDescent="0.25">
      <c r="A29" s="41" t="s">
        <v>45</v>
      </c>
      <c r="B29" s="166" t="s">
        <v>142</v>
      </c>
      <c r="C29" s="166"/>
      <c r="D29" s="166"/>
      <c r="E29" s="166"/>
      <c r="F29" s="166"/>
      <c r="G29" s="166"/>
      <c r="H29" s="166"/>
      <c r="I29" s="42"/>
      <c r="J29" s="42"/>
    </row>
    <row r="30" spans="1:10" ht="15.75" x14ac:dyDescent="0.25">
      <c r="A30" s="41"/>
      <c r="B30" s="168"/>
      <c r="C30" s="168"/>
      <c r="D30" s="168"/>
      <c r="E30" s="168"/>
      <c r="F30" s="168"/>
      <c r="G30" s="168"/>
      <c r="H30" s="168"/>
      <c r="I30" s="42"/>
      <c r="J30" s="42"/>
    </row>
    <row r="31" spans="1:10" s="140" customFormat="1" ht="15.75" x14ac:dyDescent="0.25">
      <c r="A31" s="130"/>
      <c r="B31" s="139"/>
      <c r="C31" s="139"/>
      <c r="D31" s="139"/>
      <c r="E31" s="139"/>
      <c r="F31" s="139"/>
      <c r="G31" s="139"/>
      <c r="H31" s="139"/>
      <c r="I31" s="129"/>
      <c r="J31" s="129"/>
    </row>
    <row r="32" spans="1:10" ht="15.75" x14ac:dyDescent="0.25">
      <c r="A32" s="137" t="s">
        <v>137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1" ht="15.75" x14ac:dyDescent="0.25">
      <c r="A33" s="162" t="s">
        <v>143</v>
      </c>
      <c r="B33" s="162"/>
      <c r="C33" s="162"/>
      <c r="D33" s="162"/>
      <c r="E33" s="162"/>
      <c r="F33" s="42"/>
      <c r="G33" s="162" t="s">
        <v>144</v>
      </c>
      <c r="H33" s="162"/>
      <c r="I33" s="162"/>
      <c r="J33" s="162"/>
      <c r="K33" s="162"/>
    </row>
    <row r="34" spans="1:11" ht="15.75" x14ac:dyDescent="0.25">
      <c r="A34" s="46" t="s">
        <v>44</v>
      </c>
      <c r="B34" s="47"/>
      <c r="C34" s="42" t="s">
        <v>39</v>
      </c>
      <c r="D34" s="133">
        <f>B34/43560</f>
        <v>0</v>
      </c>
      <c r="E34" s="42" t="s">
        <v>140</v>
      </c>
      <c r="F34" s="42"/>
      <c r="G34" s="136" t="s">
        <v>44</v>
      </c>
      <c r="H34" s="47"/>
      <c r="I34" s="42" t="s">
        <v>39</v>
      </c>
      <c r="J34" s="133">
        <f>H34/43560</f>
        <v>0</v>
      </c>
      <c r="K34" s="42" t="s">
        <v>140</v>
      </c>
    </row>
    <row r="35" spans="1:11" ht="15.75" x14ac:dyDescent="0.25">
      <c r="A35" s="46" t="s">
        <v>43</v>
      </c>
      <c r="B35" s="47"/>
      <c r="C35" s="42" t="s">
        <v>39</v>
      </c>
      <c r="D35" s="133">
        <f>B35/43560</f>
        <v>0</v>
      </c>
      <c r="E35" s="42" t="s">
        <v>140</v>
      </c>
      <c r="F35" s="42"/>
      <c r="G35" s="136" t="s">
        <v>43</v>
      </c>
      <c r="H35" s="47"/>
      <c r="I35" s="42" t="s">
        <v>39</v>
      </c>
      <c r="J35" s="133">
        <f>H35/43560</f>
        <v>0</v>
      </c>
      <c r="K35" s="42" t="s">
        <v>140</v>
      </c>
    </row>
    <row r="36" spans="1:11" ht="15.75" x14ac:dyDescent="0.25">
      <c r="A36" s="46" t="s">
        <v>42</v>
      </c>
      <c r="B36" s="47"/>
      <c r="C36" s="42" t="s">
        <v>39</v>
      </c>
      <c r="D36" s="133">
        <f>B36/43560</f>
        <v>0</v>
      </c>
      <c r="E36" s="42" t="s">
        <v>140</v>
      </c>
      <c r="F36" s="42"/>
      <c r="G36" s="136" t="s">
        <v>42</v>
      </c>
      <c r="H36" s="47"/>
      <c r="I36" s="42" t="s">
        <v>39</v>
      </c>
      <c r="J36" s="133">
        <f>H36/43560</f>
        <v>0</v>
      </c>
      <c r="K36" s="42" t="s">
        <v>140</v>
      </c>
    </row>
    <row r="37" spans="1:11" ht="15.75" x14ac:dyDescent="0.25">
      <c r="A37" s="46" t="s">
        <v>41</v>
      </c>
      <c r="B37" s="47"/>
      <c r="C37" s="42" t="s">
        <v>39</v>
      </c>
      <c r="D37" s="133">
        <f>B37/43560</f>
        <v>0</v>
      </c>
      <c r="E37" s="42" t="s">
        <v>140</v>
      </c>
      <c r="F37" s="42"/>
      <c r="G37" s="136" t="s">
        <v>41</v>
      </c>
      <c r="H37" s="47"/>
      <c r="I37" s="42" t="s">
        <v>39</v>
      </c>
      <c r="J37" s="133">
        <f>H37/43560</f>
        <v>0</v>
      </c>
      <c r="K37" s="42" t="s">
        <v>140</v>
      </c>
    </row>
    <row r="38" spans="1:11" ht="15.75" x14ac:dyDescent="0.25">
      <c r="A38" s="46" t="s">
        <v>40</v>
      </c>
      <c r="B38" s="47"/>
      <c r="C38" s="42" t="s">
        <v>39</v>
      </c>
      <c r="D38" s="133">
        <f>B38/43560</f>
        <v>0</v>
      </c>
      <c r="E38" s="42" t="s">
        <v>140</v>
      </c>
      <c r="F38" s="42"/>
      <c r="G38" s="136" t="s">
        <v>40</v>
      </c>
      <c r="H38" s="47"/>
      <c r="I38" s="42" t="s">
        <v>39</v>
      </c>
      <c r="J38" s="133">
        <f>H38/43560</f>
        <v>0</v>
      </c>
      <c r="K38" s="42" t="s">
        <v>140</v>
      </c>
    </row>
    <row r="39" spans="1:11" ht="15.75" x14ac:dyDescent="0.25">
      <c r="A39" s="41"/>
      <c r="B39" s="131"/>
      <c r="C39" s="132"/>
      <c r="D39" s="129"/>
      <c r="E39" s="129"/>
      <c r="F39" s="129"/>
      <c r="G39" s="129"/>
      <c r="H39" s="133"/>
      <c r="I39" s="129"/>
      <c r="J39" s="42"/>
    </row>
    <row r="40" spans="1:11" ht="15.75" x14ac:dyDescent="0.25">
      <c r="A40" s="41" t="s">
        <v>138</v>
      </c>
      <c r="B40" s="131"/>
      <c r="C40" s="132"/>
      <c r="D40" s="129"/>
      <c r="E40" s="129"/>
      <c r="F40" s="129"/>
      <c r="G40" s="129"/>
      <c r="H40" s="133"/>
      <c r="I40" s="129"/>
      <c r="J40" s="42"/>
    </row>
    <row r="41" spans="1:11" ht="15.75" x14ac:dyDescent="0.25">
      <c r="A41" s="167" t="s">
        <v>136</v>
      </c>
      <c r="B41" s="167"/>
      <c r="C41" s="167"/>
      <c r="D41" s="167"/>
      <c r="E41" s="167"/>
      <c r="F41" s="167"/>
      <c r="G41" s="167"/>
      <c r="H41" s="167"/>
      <c r="I41" s="167"/>
      <c r="J41" s="167"/>
    </row>
    <row r="42" spans="1:11" ht="15.75" x14ac:dyDescent="0.25">
      <c r="A42" s="45"/>
      <c r="B42" s="163"/>
      <c r="C42" s="164"/>
      <c r="D42" s="164"/>
      <c r="E42" s="164"/>
      <c r="F42" s="164"/>
      <c r="G42" s="164"/>
      <c r="H42" s="164"/>
      <c r="I42" s="164"/>
      <c r="J42" s="164"/>
    </row>
    <row r="43" spans="1:11" ht="15.75" x14ac:dyDescent="0.25">
      <c r="A43" s="45" t="s">
        <v>135</v>
      </c>
      <c r="B43" s="164"/>
      <c r="C43" s="164"/>
      <c r="D43" s="164"/>
      <c r="E43" s="164"/>
      <c r="F43" s="164"/>
      <c r="G43" s="164"/>
      <c r="H43" s="164"/>
      <c r="I43" s="164"/>
      <c r="J43" s="164"/>
    </row>
    <row r="44" spans="1:11" ht="15.75" x14ac:dyDescent="0.25">
      <c r="A44" s="45"/>
      <c r="B44" s="164"/>
      <c r="C44" s="164"/>
      <c r="D44" s="164"/>
      <c r="E44" s="164"/>
      <c r="F44" s="164"/>
      <c r="G44" s="164"/>
      <c r="H44" s="164"/>
      <c r="I44" s="164"/>
      <c r="J44" s="164"/>
    </row>
    <row r="45" spans="1:11" ht="15.75" x14ac:dyDescent="0.25">
      <c r="A45" s="45"/>
      <c r="B45" s="164"/>
      <c r="C45" s="164"/>
      <c r="D45" s="164"/>
      <c r="E45" s="164"/>
      <c r="F45" s="164"/>
      <c r="G45" s="164"/>
      <c r="H45" s="164"/>
      <c r="I45" s="164"/>
      <c r="J45" s="164"/>
    </row>
    <row r="46" spans="1:11" x14ac:dyDescent="0.25">
      <c r="A46" s="42"/>
      <c r="B46" s="164"/>
      <c r="C46" s="164"/>
      <c r="D46" s="164"/>
      <c r="E46" s="164"/>
      <c r="F46" s="164"/>
      <c r="G46" s="164"/>
      <c r="H46" s="164"/>
      <c r="I46" s="164"/>
      <c r="J46" s="164"/>
    </row>
    <row r="47" spans="1:11" ht="15.75" x14ac:dyDescent="0.25">
      <c r="A47" s="41"/>
      <c r="B47" s="164"/>
      <c r="C47" s="164"/>
      <c r="D47" s="164"/>
      <c r="E47" s="164"/>
      <c r="F47" s="164"/>
      <c r="G47" s="164"/>
      <c r="H47" s="164"/>
      <c r="I47" s="164"/>
      <c r="J47" s="164"/>
    </row>
    <row r="48" spans="1:11" ht="15.75" x14ac:dyDescent="0.25">
      <c r="A48" s="41"/>
      <c r="B48" s="164"/>
      <c r="C48" s="164"/>
      <c r="D48" s="164"/>
      <c r="E48" s="164"/>
      <c r="F48" s="164"/>
      <c r="G48" s="164"/>
      <c r="H48" s="164"/>
      <c r="I48" s="164"/>
      <c r="J48" s="164"/>
    </row>
    <row r="49" spans="1:10" x14ac:dyDescent="0.25">
      <c r="A49" s="42"/>
      <c r="B49" s="165"/>
      <c r="C49" s="165"/>
      <c r="D49" s="165"/>
      <c r="E49" s="165"/>
      <c r="F49" s="165"/>
      <c r="G49" s="165"/>
      <c r="H49" s="165"/>
      <c r="I49" s="165"/>
      <c r="J49" s="165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</sheetData>
  <mergeCells count="20">
    <mergeCell ref="B6:H6"/>
    <mergeCell ref="B8:H8"/>
    <mergeCell ref="B9:H9"/>
    <mergeCell ref="B7:H7"/>
    <mergeCell ref="B11:D11"/>
    <mergeCell ref="B12:D12"/>
    <mergeCell ref="B15:I20"/>
    <mergeCell ref="D28:H28"/>
    <mergeCell ref="B29:H29"/>
    <mergeCell ref="B30:H30"/>
    <mergeCell ref="A16:A19"/>
    <mergeCell ref="A33:E33"/>
    <mergeCell ref="G33:K33"/>
    <mergeCell ref="B42:J49"/>
    <mergeCell ref="D27:H27"/>
    <mergeCell ref="A41:J41"/>
    <mergeCell ref="D23:H23"/>
    <mergeCell ref="D24:H24"/>
    <mergeCell ref="D25:H25"/>
    <mergeCell ref="D26:H26"/>
  </mergeCells>
  <pageMargins left="0.7" right="0.7" top="0.75" bottom="0.75" header="0.3" footer="0.3"/>
  <pageSetup scale="93" orientation="portrait" r:id="rId1"/>
  <headerFooter>
    <oddHeader>&amp;L&amp;12City of Saginaw
Stormwater Management Plan&amp;R&amp;"-,Bold Italic"&amp;12&amp;A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4346-44DB-4BA1-B63A-37C05128B600}">
  <dimension ref="A1:Q39"/>
  <sheetViews>
    <sheetView view="pageLayout" topLeftCell="A10" zoomScaleNormal="100" workbookViewId="0">
      <selection activeCell="E19" sqref="E19"/>
    </sheetView>
  </sheetViews>
  <sheetFormatPr defaultRowHeight="15" x14ac:dyDescent="0.25"/>
  <cols>
    <col min="1" max="1" width="10" style="11" customWidth="1"/>
    <col min="2" max="2" width="31.85546875" style="11" customWidth="1"/>
    <col min="3" max="3" width="9.42578125" style="11" bestFit="1" customWidth="1"/>
    <col min="4" max="4" width="12.7109375" style="11" customWidth="1"/>
    <col min="5" max="5" width="16.85546875" style="11" customWidth="1"/>
    <col min="6" max="7" width="9.140625" style="11"/>
    <col min="8" max="8" width="40.85546875" style="11" customWidth="1"/>
    <col min="9" max="9" width="21" style="11" customWidth="1"/>
    <col min="10" max="10" width="9.140625" style="11"/>
    <col min="11" max="11" width="17.28515625" style="11" customWidth="1"/>
    <col min="12" max="12" width="9.140625" style="11"/>
    <col min="13" max="13" width="5" style="11" bestFit="1" customWidth="1"/>
    <col min="14" max="17" width="9.140625" style="11"/>
  </cols>
  <sheetData>
    <row r="1" spans="1:17" ht="16.5" thickBot="1" x14ac:dyDescent="0.3">
      <c r="A1" s="177" t="s">
        <v>51</v>
      </c>
      <c r="B1" s="178"/>
      <c r="C1" s="178"/>
      <c r="D1" s="178"/>
      <c r="E1" s="179"/>
    </row>
    <row r="2" spans="1:17" ht="15.75" x14ac:dyDescent="0.25">
      <c r="A2" s="39" t="s">
        <v>37</v>
      </c>
      <c r="B2" s="180"/>
      <c r="C2" s="180"/>
      <c r="D2" s="12" t="s">
        <v>35</v>
      </c>
      <c r="E2" s="95">
        <f ca="1">NOW()</f>
        <v>43938.627499421294</v>
      </c>
      <c r="K2" s="13"/>
      <c r="L2" s="14"/>
    </row>
    <row r="3" spans="1:17" ht="16.5" thickBot="1" x14ac:dyDescent="0.3">
      <c r="A3" s="39" t="s">
        <v>36</v>
      </c>
      <c r="B3" s="181"/>
      <c r="C3" s="181"/>
      <c r="D3" s="15"/>
      <c r="E3" s="16"/>
      <c r="M3" s="17"/>
      <c r="P3" s="17"/>
    </row>
    <row r="4" spans="1:17" ht="16.5" thickBot="1" x14ac:dyDescent="0.3">
      <c r="A4" s="182"/>
      <c r="B4" s="183"/>
      <c r="C4" s="183"/>
      <c r="D4" s="183"/>
      <c r="E4" s="184"/>
      <c r="M4" s="17"/>
      <c r="O4" s="10"/>
    </row>
    <row r="5" spans="1:17" ht="16.5" thickBot="1" x14ac:dyDescent="0.3">
      <c r="A5" s="185" t="s">
        <v>52</v>
      </c>
      <c r="B5" s="186"/>
      <c r="C5" s="18" t="s">
        <v>34</v>
      </c>
      <c r="D5" s="19" t="s">
        <v>33</v>
      </c>
      <c r="E5" s="20" t="s">
        <v>53</v>
      </c>
      <c r="G5" s="14"/>
      <c r="O5" s="10"/>
      <c r="P5" s="21"/>
      <c r="Q5" s="10"/>
    </row>
    <row r="6" spans="1:17" ht="16.5" thickBot="1" x14ac:dyDescent="0.3">
      <c r="A6" s="175" t="s">
        <v>95</v>
      </c>
      <c r="B6" s="176"/>
      <c r="C6" s="22">
        <f>IF(A6= B10,0,VLOOKUP(A6,Sheet7!$A$2:$B$25,2,FALSE))</f>
        <v>0.17</v>
      </c>
      <c r="D6" s="86">
        <v>0</v>
      </c>
      <c r="E6" s="23">
        <f>C6*D6</f>
        <v>0</v>
      </c>
      <c r="K6" s="13"/>
      <c r="L6" s="14"/>
    </row>
    <row r="7" spans="1:17" ht="16.5" thickBot="1" x14ac:dyDescent="0.3">
      <c r="A7" s="175" t="s">
        <v>92</v>
      </c>
      <c r="B7" s="176"/>
      <c r="C7" s="22">
        <f>IF(A7= B11,0,VLOOKUP(A7,Sheet7!$A$2:$B$25,2,FALSE))</f>
        <v>0.9</v>
      </c>
      <c r="D7" s="86">
        <v>0</v>
      </c>
      <c r="E7" s="24">
        <f t="shared" ref="E7:E14" si="0">C7*D7</f>
        <v>0</v>
      </c>
      <c r="K7" s="13"/>
      <c r="L7" s="14"/>
    </row>
    <row r="8" spans="1:17" ht="16.5" thickBot="1" x14ac:dyDescent="0.3">
      <c r="A8" s="175" t="s">
        <v>91</v>
      </c>
      <c r="B8" s="176"/>
      <c r="C8" s="22">
        <f>IF(A8= B12,0,VLOOKUP(A8,Sheet7!$A$2:$B$25,2,FALSE))</f>
        <v>0.8</v>
      </c>
      <c r="D8" s="86">
        <v>0</v>
      </c>
      <c r="E8" s="24">
        <f t="shared" si="0"/>
        <v>0</v>
      </c>
      <c r="K8" s="13"/>
      <c r="L8" s="14"/>
    </row>
    <row r="9" spans="1:17" ht="16.5" thickBot="1" x14ac:dyDescent="0.3">
      <c r="A9" s="175" t="s">
        <v>84</v>
      </c>
      <c r="B9" s="176"/>
      <c r="C9" s="22">
        <f>IF(A9= B13,0,VLOOKUP(A9,Sheet7!$A$2:$B$25,2,FALSE))</f>
        <v>0.7</v>
      </c>
      <c r="D9" s="86">
        <v>0</v>
      </c>
      <c r="E9" s="23">
        <f t="shared" si="0"/>
        <v>0</v>
      </c>
      <c r="O9" s="10"/>
    </row>
    <row r="10" spans="1:17" ht="16.5" thickBot="1" x14ac:dyDescent="0.3">
      <c r="A10" s="175" t="s">
        <v>93</v>
      </c>
      <c r="B10" s="176"/>
      <c r="C10" s="22">
        <f>IF(A10= B14,0,VLOOKUP(A10,Sheet7!$A$2:$B$25,2,FALSE))</f>
        <v>0.1</v>
      </c>
      <c r="D10" s="87">
        <v>0</v>
      </c>
      <c r="E10" s="23">
        <f t="shared" si="0"/>
        <v>0</v>
      </c>
      <c r="O10" s="10"/>
      <c r="P10" s="21"/>
      <c r="Q10" s="10"/>
    </row>
    <row r="11" spans="1:17" ht="16.5" thickBot="1" x14ac:dyDescent="0.3">
      <c r="A11" s="175"/>
      <c r="B11" s="176"/>
      <c r="C11" s="22">
        <f>IF(A11= B15,0,VLOOKUP(A11,Sheet7!$A$2:$B$25,2,FALSE))</f>
        <v>0</v>
      </c>
      <c r="D11" s="86">
        <v>0</v>
      </c>
      <c r="E11" s="23">
        <f>C11*D11</f>
        <v>0</v>
      </c>
      <c r="K11" s="13"/>
      <c r="L11" s="14"/>
    </row>
    <row r="12" spans="1:17" ht="16.5" thickBot="1" x14ac:dyDescent="0.3">
      <c r="A12" s="175"/>
      <c r="B12" s="176"/>
      <c r="C12" s="22">
        <f>IF(A12= B16,0,VLOOKUP(A12,Sheet7!$A$2:$B$25,2,FALSE))</f>
        <v>0</v>
      </c>
      <c r="D12" s="87">
        <v>0</v>
      </c>
      <c r="E12" s="23">
        <f t="shared" si="0"/>
        <v>0</v>
      </c>
    </row>
    <row r="13" spans="1:17" ht="16.5" thickBot="1" x14ac:dyDescent="0.3">
      <c r="A13" s="175"/>
      <c r="B13" s="176"/>
      <c r="C13" s="22">
        <f>IF(A13= B17,0,VLOOKUP(A13,Sheet7!$A$2:$B$25,2,FALSE))</f>
        <v>0</v>
      </c>
      <c r="D13" s="86">
        <v>0</v>
      </c>
      <c r="E13" s="23">
        <f t="shared" si="0"/>
        <v>0</v>
      </c>
      <c r="M13" s="17"/>
    </row>
    <row r="14" spans="1:17" ht="16.5" thickBot="1" x14ac:dyDescent="0.3">
      <c r="A14" s="175"/>
      <c r="B14" s="176"/>
      <c r="C14" s="22">
        <f>IF(A14= B18,0,VLOOKUP(A14,Sheet7!$A$2:$B$25,2,FALSE))</f>
        <v>0</v>
      </c>
      <c r="D14" s="88">
        <v>0</v>
      </c>
      <c r="E14" s="25">
        <f t="shared" si="0"/>
        <v>0</v>
      </c>
      <c r="O14" s="10"/>
    </row>
    <row r="15" spans="1:17" ht="16.5" thickBot="1" x14ac:dyDescent="0.3">
      <c r="A15" s="26"/>
      <c r="B15" s="27"/>
      <c r="C15" s="28" t="s">
        <v>32</v>
      </c>
      <c r="D15" s="29">
        <f>SUM(D6:D14)</f>
        <v>0</v>
      </c>
      <c r="E15" s="30">
        <f>SUM(E6:E14)</f>
        <v>0</v>
      </c>
      <c r="M15" s="17"/>
      <c r="O15" s="10"/>
      <c r="P15" s="21"/>
      <c r="Q15" s="10"/>
    </row>
    <row r="16" spans="1:17" ht="16.5" thickBot="1" x14ac:dyDescent="0.3">
      <c r="A16" s="26"/>
      <c r="B16" s="27"/>
      <c r="C16" s="31"/>
      <c r="D16" s="31"/>
      <c r="E16" s="32"/>
    </row>
    <row r="17" spans="1:5" ht="16.5" thickBot="1" x14ac:dyDescent="0.3">
      <c r="A17" s="187" t="s">
        <v>71</v>
      </c>
      <c r="B17" s="188"/>
      <c r="C17" s="33" t="e">
        <f>E15/D15</f>
        <v>#DIV/0!</v>
      </c>
      <c r="D17" s="34"/>
      <c r="E17" s="16"/>
    </row>
    <row r="18" spans="1:5" ht="16.5" thickBot="1" x14ac:dyDescent="0.3">
      <c r="A18" s="35"/>
      <c r="B18" s="36"/>
      <c r="C18" s="37"/>
      <c r="D18" s="37"/>
      <c r="E18" s="38"/>
    </row>
    <row r="19" spans="1:5" ht="15.75" x14ac:dyDescent="0.25">
      <c r="A19" s="149"/>
      <c r="B19" s="149"/>
      <c r="C19" s="150"/>
      <c r="D19" s="150"/>
      <c r="E19" s="149"/>
    </row>
    <row r="20" spans="1:5" ht="15.75" x14ac:dyDescent="0.25">
      <c r="A20" s="173" t="s">
        <v>156</v>
      </c>
      <c r="B20" s="173"/>
      <c r="C20" s="173"/>
      <c r="D20" s="173"/>
      <c r="E20" s="173"/>
    </row>
    <row r="21" spans="1:5" ht="16.5" thickBot="1" x14ac:dyDescent="0.3">
      <c r="A21" s="174" t="s">
        <v>157</v>
      </c>
      <c r="B21" s="174"/>
      <c r="C21" s="174"/>
      <c r="D21" s="174"/>
      <c r="E21" s="174"/>
    </row>
    <row r="22" spans="1:5" ht="16.5" thickBot="1" x14ac:dyDescent="0.3">
      <c r="A22" s="177" t="s">
        <v>181</v>
      </c>
      <c r="B22" s="178"/>
      <c r="C22" s="178"/>
      <c r="D22" s="178"/>
      <c r="E22" s="179"/>
    </row>
    <row r="23" spans="1:5" ht="15.75" x14ac:dyDescent="0.25">
      <c r="A23" s="39" t="s">
        <v>37</v>
      </c>
      <c r="B23" s="180"/>
      <c r="C23" s="180"/>
      <c r="D23" s="12" t="s">
        <v>35</v>
      </c>
      <c r="E23" s="95">
        <f ca="1">NOW()</f>
        <v>43938.627499421294</v>
      </c>
    </row>
    <row r="24" spans="1:5" ht="16.5" thickBot="1" x14ac:dyDescent="0.3">
      <c r="A24" s="39" t="s">
        <v>36</v>
      </c>
      <c r="B24" s="181"/>
      <c r="C24" s="181"/>
      <c r="D24" s="15"/>
      <c r="E24" s="16"/>
    </row>
    <row r="25" spans="1:5" ht="16.5" thickBot="1" x14ac:dyDescent="0.3">
      <c r="A25" s="182"/>
      <c r="B25" s="183"/>
      <c r="C25" s="183"/>
      <c r="D25" s="183"/>
      <c r="E25" s="184"/>
    </row>
    <row r="26" spans="1:5" ht="16.5" thickBot="1" x14ac:dyDescent="0.3">
      <c r="A26" s="185" t="s">
        <v>52</v>
      </c>
      <c r="B26" s="186"/>
      <c r="C26" s="18" t="s">
        <v>34</v>
      </c>
      <c r="D26" s="134" t="s">
        <v>33</v>
      </c>
      <c r="E26" s="20" t="s">
        <v>53</v>
      </c>
    </row>
    <row r="27" spans="1:5" ht="16.5" thickBot="1" x14ac:dyDescent="0.3">
      <c r="A27" s="175" t="s">
        <v>95</v>
      </c>
      <c r="B27" s="176"/>
      <c r="C27" s="22">
        <f>IF(A27= B31,0,VLOOKUP(A27,Sheet7!$A$2:$B$25,2,FALSE))</f>
        <v>0.17</v>
      </c>
      <c r="D27" s="86">
        <v>0</v>
      </c>
      <c r="E27" s="23">
        <f>C27*D27</f>
        <v>0</v>
      </c>
    </row>
    <row r="28" spans="1:5" ht="16.5" thickBot="1" x14ac:dyDescent="0.3">
      <c r="A28" s="175" t="s">
        <v>92</v>
      </c>
      <c r="B28" s="176"/>
      <c r="C28" s="22">
        <f>IF(A28= B32,0,VLOOKUP(A28,Sheet7!$A$2:$B$25,2,FALSE))</f>
        <v>0.9</v>
      </c>
      <c r="D28" s="86">
        <v>0</v>
      </c>
      <c r="E28" s="24">
        <f t="shared" ref="E28:E31" si="1">C28*D28</f>
        <v>0</v>
      </c>
    </row>
    <row r="29" spans="1:5" ht="16.5" thickBot="1" x14ac:dyDescent="0.3">
      <c r="A29" s="175" t="s">
        <v>93</v>
      </c>
      <c r="B29" s="176"/>
      <c r="C29" s="22">
        <f>IF(A29= B33,0,VLOOKUP(A29,Sheet7!$A$2:$B$25,2,FALSE))</f>
        <v>0.1</v>
      </c>
      <c r="D29" s="86">
        <v>0</v>
      </c>
      <c r="E29" s="24">
        <f t="shared" si="1"/>
        <v>0</v>
      </c>
    </row>
    <row r="30" spans="1:5" ht="16.5" thickBot="1" x14ac:dyDescent="0.3">
      <c r="A30" s="175" t="s">
        <v>84</v>
      </c>
      <c r="B30" s="176"/>
      <c r="C30" s="22">
        <f>IF(A30= B34,0,VLOOKUP(A30,Sheet7!$A$2:$B$25,2,FALSE))</f>
        <v>0.7</v>
      </c>
      <c r="D30" s="86">
        <v>0</v>
      </c>
      <c r="E30" s="23">
        <f t="shared" si="1"/>
        <v>0</v>
      </c>
    </row>
    <row r="31" spans="1:5" ht="16.5" thickBot="1" x14ac:dyDescent="0.3">
      <c r="A31" s="175" t="s">
        <v>93</v>
      </c>
      <c r="B31" s="176"/>
      <c r="C31" s="22">
        <f>IF(A31= B35,0,VLOOKUP(A31,Sheet7!$A$2:$B$25,2,FALSE))</f>
        <v>0.1</v>
      </c>
      <c r="D31" s="87">
        <v>0</v>
      </c>
      <c r="E31" s="23">
        <f t="shared" si="1"/>
        <v>0</v>
      </c>
    </row>
    <row r="32" spans="1:5" ht="16.5" thickBot="1" x14ac:dyDescent="0.3">
      <c r="A32" s="175"/>
      <c r="B32" s="176"/>
      <c r="C32" s="22">
        <f>IF(A32= B36,0,VLOOKUP(A32,Sheet7!$A$2:$B$25,2,FALSE))</f>
        <v>0</v>
      </c>
      <c r="D32" s="86">
        <v>0</v>
      </c>
      <c r="E32" s="23">
        <f>C32*D32</f>
        <v>0</v>
      </c>
    </row>
    <row r="33" spans="1:5" ht="16.5" thickBot="1" x14ac:dyDescent="0.3">
      <c r="A33" s="175"/>
      <c r="B33" s="176"/>
      <c r="C33" s="22">
        <f>IF(A33= B37,0,VLOOKUP(A33,Sheet7!$A$2:$B$25,2,FALSE))</f>
        <v>0</v>
      </c>
      <c r="D33" s="87">
        <v>0</v>
      </c>
      <c r="E33" s="23">
        <f t="shared" ref="E33:E35" si="2">C33*D33</f>
        <v>0</v>
      </c>
    </row>
    <row r="34" spans="1:5" ht="16.5" thickBot="1" x14ac:dyDescent="0.3">
      <c r="A34" s="175"/>
      <c r="B34" s="176"/>
      <c r="C34" s="22">
        <f>IF(A34= B38,0,VLOOKUP(A34,Sheet7!$A$2:$B$25,2,FALSE))</f>
        <v>0</v>
      </c>
      <c r="D34" s="86">
        <v>0</v>
      </c>
      <c r="E34" s="23">
        <f t="shared" si="2"/>
        <v>0</v>
      </c>
    </row>
    <row r="35" spans="1:5" ht="16.5" thickBot="1" x14ac:dyDescent="0.3">
      <c r="A35" s="175"/>
      <c r="B35" s="176"/>
      <c r="C35" s="22">
        <f>IF(A35= B39,0,VLOOKUP(A35,Sheet7!$A$2:$B$25,2,FALSE))</f>
        <v>0</v>
      </c>
      <c r="D35" s="88">
        <v>0</v>
      </c>
      <c r="E35" s="25">
        <f t="shared" si="2"/>
        <v>0</v>
      </c>
    </row>
    <row r="36" spans="1:5" ht="16.5" thickBot="1" x14ac:dyDescent="0.3">
      <c r="A36" s="26"/>
      <c r="B36" s="27"/>
      <c r="C36" s="28" t="s">
        <v>32</v>
      </c>
      <c r="D36" s="29">
        <f>SUM(D27:D35)</f>
        <v>0</v>
      </c>
      <c r="E36" s="30">
        <f>SUM(E27:E35)</f>
        <v>0</v>
      </c>
    </row>
    <row r="37" spans="1:5" ht="16.5" thickBot="1" x14ac:dyDescent="0.3">
      <c r="A37" s="26"/>
      <c r="B37" s="27"/>
      <c r="C37" s="31"/>
      <c r="D37" s="31"/>
      <c r="E37" s="32"/>
    </row>
    <row r="38" spans="1:5" ht="16.5" thickBot="1" x14ac:dyDescent="0.3">
      <c r="A38" s="187" t="s">
        <v>71</v>
      </c>
      <c r="B38" s="188"/>
      <c r="C38" s="33" t="e">
        <f>E36/D36</f>
        <v>#DIV/0!</v>
      </c>
      <c r="D38" s="34"/>
      <c r="E38" s="16"/>
    </row>
    <row r="39" spans="1:5" ht="16.5" thickBot="1" x14ac:dyDescent="0.3">
      <c r="A39" s="35"/>
      <c r="B39" s="36"/>
      <c r="C39" s="37"/>
      <c r="D39" s="37"/>
      <c r="E39" s="38"/>
    </row>
  </sheetData>
  <mergeCells count="32">
    <mergeCell ref="A10:B10"/>
    <mergeCell ref="A1:E1"/>
    <mergeCell ref="B2:C2"/>
    <mergeCell ref="B3:C3"/>
    <mergeCell ref="A4:E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17:B17"/>
    <mergeCell ref="A35:B35"/>
    <mergeCell ref="A38:B38"/>
    <mergeCell ref="A27:B27"/>
    <mergeCell ref="A28:B28"/>
    <mergeCell ref="A29:B29"/>
    <mergeCell ref="A30:B30"/>
    <mergeCell ref="A31:B31"/>
    <mergeCell ref="A20:E20"/>
    <mergeCell ref="A21:E21"/>
    <mergeCell ref="A32:B32"/>
    <mergeCell ref="A33:B33"/>
    <mergeCell ref="A34:B34"/>
    <mergeCell ref="A22:E22"/>
    <mergeCell ref="B23:C23"/>
    <mergeCell ref="B24:C24"/>
    <mergeCell ref="A25:E25"/>
    <mergeCell ref="A26:B26"/>
  </mergeCells>
  <printOptions gridLines="1" gridLinesSet="0"/>
  <pageMargins left="0.75" right="0.75" top="1" bottom="1" header="0.5" footer="0.5"/>
  <pageSetup orientation="portrait" r:id="rId1"/>
  <headerFooter alignWithMargins="0">
    <oddHeader>&amp;LCity of Saginaw
Stormwater Management Plan&amp;R&amp;"-,Bold Italic"&amp;12&amp;A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FF5908-A39E-44DB-ADE9-3868C4F75326}">
          <x14:formula1>
            <xm:f>Sheet7!$A$2:$A$24</xm:f>
          </x14:formula1>
          <xm:sqref>A6:B14 A27:B35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3757-78D2-4DE2-A652-F66885C9C1D3}">
  <dimension ref="A1:L122"/>
  <sheetViews>
    <sheetView tabSelected="1" topLeftCell="A22" zoomScaleNormal="100" workbookViewId="0">
      <selection activeCell="K17" sqref="K17"/>
    </sheetView>
  </sheetViews>
  <sheetFormatPr defaultRowHeight="12.75" x14ac:dyDescent="0.2"/>
  <cols>
    <col min="1" max="1" width="19.42578125" style="11" customWidth="1"/>
    <col min="2" max="2" width="12.28515625" style="11" customWidth="1"/>
    <col min="3" max="3" width="17.7109375" style="11" customWidth="1"/>
    <col min="4" max="4" width="28.7109375" style="14" customWidth="1"/>
    <col min="5" max="5" width="12.7109375" style="11" customWidth="1"/>
    <col min="6" max="6" width="2.5703125" style="11" customWidth="1"/>
    <col min="7" max="16384" width="9.140625" style="11"/>
  </cols>
  <sheetData>
    <row r="1" spans="1:5" x14ac:dyDescent="0.2">
      <c r="A1" s="48" t="s">
        <v>2</v>
      </c>
      <c r="B1" s="107"/>
      <c r="C1" s="107"/>
      <c r="D1" s="10"/>
      <c r="E1" s="10"/>
    </row>
    <row r="2" spans="1:5" x14ac:dyDescent="0.2">
      <c r="A2" s="48" t="s">
        <v>1</v>
      </c>
      <c r="B2" s="107"/>
      <c r="C2" s="107"/>
      <c r="D2" s="10"/>
      <c r="E2" s="10"/>
    </row>
    <row r="3" spans="1:5" x14ac:dyDescent="0.2">
      <c r="A3" s="48" t="s">
        <v>0</v>
      </c>
      <c r="B3" s="107"/>
      <c r="C3" s="107"/>
      <c r="D3" s="10"/>
      <c r="E3" s="10"/>
    </row>
    <row r="4" spans="1:5" x14ac:dyDescent="0.2">
      <c r="A4" s="48"/>
      <c r="B4" s="49"/>
      <c r="C4" s="49"/>
      <c r="D4" s="50"/>
    </row>
    <row r="5" spans="1:5" x14ac:dyDescent="0.2">
      <c r="A5" s="106" t="s">
        <v>30</v>
      </c>
      <c r="B5" s="49"/>
    </row>
    <row r="6" spans="1:5" x14ac:dyDescent="0.2">
      <c r="A6" s="10"/>
      <c r="B6" s="49"/>
      <c r="C6" s="52" t="s">
        <v>55</v>
      </c>
      <c r="D6" s="53"/>
    </row>
    <row r="7" spans="1:5" x14ac:dyDescent="0.2">
      <c r="C7" s="52" t="s">
        <v>107</v>
      </c>
      <c r="D7" s="96"/>
      <c r="E7" s="11" t="s">
        <v>38</v>
      </c>
    </row>
    <row r="8" spans="1:5" x14ac:dyDescent="0.2">
      <c r="C8" s="52" t="s">
        <v>29</v>
      </c>
      <c r="D8" s="55">
        <v>0.1</v>
      </c>
      <c r="E8" s="9" t="s">
        <v>11</v>
      </c>
    </row>
    <row r="9" spans="1:5" x14ac:dyDescent="0.2">
      <c r="C9" s="52" t="s">
        <v>158</v>
      </c>
      <c r="D9" s="56" t="e">
        <f>'Runoff Coefficient'!C17</f>
        <v>#DIV/0!</v>
      </c>
    </row>
    <row r="10" spans="1:5" x14ac:dyDescent="0.2">
      <c r="C10" s="52" t="s">
        <v>56</v>
      </c>
      <c r="D10" s="57"/>
      <c r="E10" s="11" t="s">
        <v>75</v>
      </c>
    </row>
    <row r="11" spans="1:5" x14ac:dyDescent="0.2">
      <c r="C11" s="52"/>
      <c r="D11" s="56"/>
    </row>
    <row r="12" spans="1:5" ht="14.25" x14ac:dyDescent="0.25">
      <c r="C12" s="52" t="s">
        <v>159</v>
      </c>
      <c r="D12" s="56" t="s">
        <v>57</v>
      </c>
    </row>
    <row r="13" spans="1:5" ht="14.25" x14ac:dyDescent="0.25">
      <c r="C13" s="52" t="s">
        <v>159</v>
      </c>
      <c r="D13" s="56">
        <f>(D10/(2*60))+15</f>
        <v>15</v>
      </c>
      <c r="E13" s="11" t="s">
        <v>76</v>
      </c>
    </row>
    <row r="14" spans="1:5" x14ac:dyDescent="0.2">
      <c r="C14" s="52"/>
    </row>
    <row r="15" spans="1:5" x14ac:dyDescent="0.2">
      <c r="C15" s="52" t="s">
        <v>28</v>
      </c>
      <c r="D15" s="58">
        <f>+(1-D8)*D7</f>
        <v>0</v>
      </c>
      <c r="E15" s="11" t="s">
        <v>38</v>
      </c>
    </row>
    <row r="16" spans="1:5" x14ac:dyDescent="0.2">
      <c r="C16" s="52" t="s">
        <v>27</v>
      </c>
      <c r="D16" s="58">
        <f>+D7*D8</f>
        <v>0</v>
      </c>
      <c r="E16" s="11" t="s">
        <v>38</v>
      </c>
    </row>
    <row r="18" spans="1:5" ht="14.25" x14ac:dyDescent="0.25">
      <c r="C18" s="3" t="s">
        <v>26</v>
      </c>
      <c r="D18" s="2" t="s">
        <v>160</v>
      </c>
      <c r="E18" s="8" t="s">
        <v>162</v>
      </c>
    </row>
    <row r="19" spans="1:5" ht="14.25" x14ac:dyDescent="0.25">
      <c r="C19" s="3" t="s">
        <v>26</v>
      </c>
      <c r="D19" s="2" t="s">
        <v>161</v>
      </c>
      <c r="E19" s="1" t="s">
        <v>163</v>
      </c>
    </row>
    <row r="20" spans="1:5" x14ac:dyDescent="0.2">
      <c r="C20" s="3" t="s">
        <v>26</v>
      </c>
      <c r="D20" s="7">
        <f>IF(D13&gt;30,175/(25+D13),136/(20+D13))</f>
        <v>3.8857142857142857</v>
      </c>
      <c r="E20" s="1" t="s">
        <v>77</v>
      </c>
    </row>
    <row r="22" spans="1:5" ht="14.25" x14ac:dyDescent="0.25">
      <c r="C22" s="3" t="s">
        <v>25</v>
      </c>
      <c r="D22" s="2">
        <v>0.1</v>
      </c>
      <c r="E22" s="8" t="s">
        <v>162</v>
      </c>
    </row>
    <row r="23" spans="1:5" ht="14.25" x14ac:dyDescent="0.25">
      <c r="C23" s="3" t="s">
        <v>25</v>
      </c>
      <c r="D23" s="2" t="s">
        <v>164</v>
      </c>
      <c r="E23" s="1" t="s">
        <v>163</v>
      </c>
    </row>
    <row r="24" spans="1:5" x14ac:dyDescent="0.2">
      <c r="C24" s="3" t="s">
        <v>25</v>
      </c>
      <c r="D24" s="6">
        <f>IF(D13&gt;30,D22,D13/(80+4*D13))</f>
        <v>0.10714285714285714</v>
      </c>
      <c r="E24" s="1"/>
    </row>
    <row r="25" spans="1:5" x14ac:dyDescent="0.2">
      <c r="C25" s="1"/>
      <c r="D25" s="2"/>
      <c r="E25" s="1"/>
    </row>
    <row r="26" spans="1:5" ht="14.25" x14ac:dyDescent="0.25">
      <c r="C26" s="3" t="s">
        <v>24</v>
      </c>
      <c r="D26" s="2">
        <v>0.7</v>
      </c>
      <c r="E26" s="8" t="s">
        <v>162</v>
      </c>
    </row>
    <row r="27" spans="1:5" ht="14.25" x14ac:dyDescent="0.25">
      <c r="C27" s="3" t="s">
        <v>24</v>
      </c>
      <c r="D27" s="2" t="s">
        <v>165</v>
      </c>
      <c r="E27" s="1" t="s">
        <v>163</v>
      </c>
    </row>
    <row r="28" spans="1:5" x14ac:dyDescent="0.2">
      <c r="C28" s="3" t="s">
        <v>24</v>
      </c>
      <c r="D28" s="6">
        <f>IF(D13&gt;30,D26,D13/(8+D13))</f>
        <v>0.65217391304347827</v>
      </c>
      <c r="E28" s="1"/>
    </row>
    <row r="29" spans="1:5" x14ac:dyDescent="0.2">
      <c r="D29" s="60"/>
    </row>
    <row r="30" spans="1:5" ht="13.5" thickBot="1" x14ac:dyDescent="0.25">
      <c r="A30" s="49"/>
      <c r="C30" s="52" t="s">
        <v>22</v>
      </c>
      <c r="D30" s="61" t="s">
        <v>23</v>
      </c>
    </row>
    <row r="31" spans="1:5" ht="13.5" thickBot="1" x14ac:dyDescent="0.25">
      <c r="B31" s="62"/>
      <c r="C31" s="63" t="s">
        <v>22</v>
      </c>
      <c r="D31" s="64">
        <f>+(D28*D20*D16)+(D24*D20*D15)</f>
        <v>0</v>
      </c>
      <c r="E31" s="65" t="s">
        <v>99</v>
      </c>
    </row>
    <row r="33" spans="1:5" x14ac:dyDescent="0.2">
      <c r="A33" s="51" t="s">
        <v>21</v>
      </c>
      <c r="B33" s="49"/>
    </row>
    <row r="34" spans="1:5" ht="14.25" x14ac:dyDescent="0.25">
      <c r="A34" s="10"/>
      <c r="B34" s="49"/>
      <c r="C34" s="52" t="s">
        <v>108</v>
      </c>
      <c r="D34" s="96"/>
      <c r="E34" s="11" t="s">
        <v>38</v>
      </c>
    </row>
    <row r="35" spans="1:5" x14ac:dyDescent="0.2">
      <c r="A35" s="10"/>
      <c r="B35" s="49"/>
      <c r="C35" s="52"/>
      <c r="D35" s="49"/>
    </row>
    <row r="36" spans="1:5" ht="14.25" x14ac:dyDescent="0.25">
      <c r="A36" s="10"/>
      <c r="B36" s="49"/>
      <c r="C36" s="52" t="s">
        <v>58</v>
      </c>
      <c r="D36" s="126" t="s">
        <v>109</v>
      </c>
    </row>
    <row r="37" spans="1:5" x14ac:dyDescent="0.2">
      <c r="C37" s="52" t="s">
        <v>58</v>
      </c>
      <c r="D37" s="127" t="e">
        <f>+D31/(D34*D9)</f>
        <v>#DIV/0!</v>
      </c>
      <c r="E37" s="11" t="s">
        <v>104</v>
      </c>
    </row>
    <row r="38" spans="1:5" x14ac:dyDescent="0.2">
      <c r="C38" s="52"/>
    </row>
    <row r="39" spans="1:5" ht="15.75" x14ac:dyDescent="0.2">
      <c r="C39" s="52" t="s">
        <v>7</v>
      </c>
      <c r="D39" s="2" t="s">
        <v>128</v>
      </c>
    </row>
    <row r="40" spans="1:5" x14ac:dyDescent="0.2">
      <c r="C40" s="52" t="s">
        <v>7</v>
      </c>
      <c r="D40" s="5" t="e">
        <f>+((4080/D37)^0.5)-20</f>
        <v>#DIV/0!</v>
      </c>
      <c r="E40" s="11" t="s">
        <v>76</v>
      </c>
    </row>
    <row r="41" spans="1:5" x14ac:dyDescent="0.2">
      <c r="C41" s="52"/>
      <c r="D41" s="5"/>
    </row>
    <row r="42" spans="1:5" x14ac:dyDescent="0.2">
      <c r="A42" s="49"/>
      <c r="C42" s="52" t="s">
        <v>72</v>
      </c>
      <c r="D42" s="2" t="s">
        <v>6</v>
      </c>
      <c r="E42" s="49"/>
    </row>
    <row r="43" spans="1:5" x14ac:dyDescent="0.2">
      <c r="C43" s="52" t="s">
        <v>72</v>
      </c>
      <c r="D43" s="4" t="e">
        <f>+((8160*D40)/(D40+20))-(40*D37*D40)</f>
        <v>#DIV/0!</v>
      </c>
      <c r="E43" s="11" t="s">
        <v>105</v>
      </c>
    </row>
    <row r="44" spans="1:5" x14ac:dyDescent="0.2">
      <c r="B44" s="49"/>
      <c r="C44" s="49"/>
      <c r="D44" s="4"/>
      <c r="E44" s="66"/>
    </row>
    <row r="45" spans="1:5" ht="13.5" thickBot="1" x14ac:dyDescent="0.25">
      <c r="A45" s="49"/>
      <c r="C45" s="52" t="s">
        <v>5</v>
      </c>
      <c r="D45" s="14" t="s">
        <v>4</v>
      </c>
      <c r="E45" s="49"/>
    </row>
    <row r="46" spans="1:5" ht="13.5" thickBot="1" x14ac:dyDescent="0.25">
      <c r="A46" s="62"/>
      <c r="B46" s="67"/>
      <c r="C46" s="63" t="s">
        <v>5</v>
      </c>
      <c r="D46" s="68" t="e">
        <f>+D43*D7*D9</f>
        <v>#DIV/0!</v>
      </c>
      <c r="E46" s="65" t="s">
        <v>100</v>
      </c>
    </row>
    <row r="47" spans="1:5" x14ac:dyDescent="0.2">
      <c r="D47" s="69"/>
    </row>
    <row r="48" spans="1:5" x14ac:dyDescent="0.2">
      <c r="A48" s="51" t="s">
        <v>64</v>
      </c>
    </row>
    <row r="49" spans="1:5" x14ac:dyDescent="0.2">
      <c r="C49" s="52" t="s">
        <v>16</v>
      </c>
      <c r="D49" s="53"/>
      <c r="E49" s="11" t="s">
        <v>75</v>
      </c>
    </row>
    <row r="50" spans="1:5" x14ac:dyDescent="0.2">
      <c r="C50" s="52" t="s">
        <v>15</v>
      </c>
    </row>
    <row r="51" spans="1:5" ht="15.75" x14ac:dyDescent="0.2">
      <c r="C51" s="52" t="s">
        <v>19</v>
      </c>
      <c r="D51" s="14" t="s">
        <v>20</v>
      </c>
    </row>
    <row r="52" spans="1:5" x14ac:dyDescent="0.2">
      <c r="C52" s="52" t="s">
        <v>19</v>
      </c>
      <c r="D52" s="77" t="e">
        <f>+D31/(0.62*((64.4*D49)^0.5))</f>
        <v>#DIV/0!</v>
      </c>
      <c r="E52" s="11" t="s">
        <v>101</v>
      </c>
    </row>
    <row r="53" spans="1:5" ht="14.25" hidden="1" x14ac:dyDescent="0.25">
      <c r="B53" s="91" t="s">
        <v>65</v>
      </c>
      <c r="C53" s="91"/>
      <c r="D53" s="92" t="s">
        <v>66</v>
      </c>
      <c r="E53" s="90"/>
    </row>
    <row r="54" spans="1:5" hidden="1" x14ac:dyDescent="0.2">
      <c r="B54" s="52"/>
      <c r="C54" s="52"/>
      <c r="D54" s="89" t="e">
        <f>#REF!/D52</f>
        <v>#REF!</v>
      </c>
      <c r="E54" s="90" t="s">
        <v>103</v>
      </c>
    </row>
    <row r="55" spans="1:5" hidden="1" x14ac:dyDescent="0.2">
      <c r="B55" s="52"/>
      <c r="C55" s="52"/>
      <c r="D55" s="89" t="e">
        <f>IF(D54&lt;1,1,#REF!/D52)</f>
        <v>#REF!</v>
      </c>
      <c r="E55" s="90" t="s">
        <v>103</v>
      </c>
    </row>
    <row r="56" spans="1:5" x14ac:dyDescent="0.2">
      <c r="C56" s="52" t="s">
        <v>73</v>
      </c>
      <c r="D56" s="58" t="e">
        <f>+((4*(D52*144))/3.14159)^0.5</f>
        <v>#DIV/0!</v>
      </c>
      <c r="E56" s="11" t="s">
        <v>102</v>
      </c>
    </row>
    <row r="58" spans="1:5" x14ac:dyDescent="0.2">
      <c r="A58" s="51" t="s">
        <v>67</v>
      </c>
    </row>
    <row r="59" spans="1:5" x14ac:dyDescent="0.2">
      <c r="C59" s="52" t="s">
        <v>18</v>
      </c>
      <c r="D59" s="53"/>
      <c r="E59" s="11" t="s">
        <v>102</v>
      </c>
    </row>
    <row r="60" spans="1:5" x14ac:dyDescent="0.2">
      <c r="C60" s="52" t="s">
        <v>17</v>
      </c>
      <c r="D60" s="78">
        <f>+(3.14159/4)*(D59/12)^2</f>
        <v>0</v>
      </c>
      <c r="E60" s="11" t="s">
        <v>101</v>
      </c>
    </row>
    <row r="61" spans="1:5" x14ac:dyDescent="0.2">
      <c r="C61" s="52" t="s">
        <v>16</v>
      </c>
      <c r="D61" s="79">
        <f>D49</f>
        <v>0</v>
      </c>
      <c r="E61" s="11" t="s">
        <v>75</v>
      </c>
    </row>
    <row r="62" spans="1:5" ht="14.25" hidden="1" x14ac:dyDescent="0.25">
      <c r="B62" s="91" t="s">
        <v>65</v>
      </c>
      <c r="C62" s="91"/>
      <c r="D62" s="92" t="s">
        <v>66</v>
      </c>
      <c r="E62" s="90"/>
    </row>
    <row r="63" spans="1:5" hidden="1" x14ac:dyDescent="0.2">
      <c r="B63" s="93"/>
      <c r="C63" s="93"/>
      <c r="D63" s="89" t="e">
        <f>#REF!/D60</f>
        <v>#REF!</v>
      </c>
      <c r="E63" s="90" t="s">
        <v>103</v>
      </c>
    </row>
    <row r="64" spans="1:5" hidden="1" x14ac:dyDescent="0.2">
      <c r="B64" s="93"/>
      <c r="C64" s="93"/>
      <c r="D64" s="89" t="e">
        <f>IF(D63&lt;1,1,D50/#REF!)</f>
        <v>#REF!</v>
      </c>
      <c r="E64" s="90" t="s">
        <v>103</v>
      </c>
    </row>
    <row r="65" spans="1:12" ht="15.75" x14ac:dyDescent="0.2">
      <c r="C65" s="52" t="s">
        <v>9</v>
      </c>
      <c r="D65" s="14" t="s">
        <v>14</v>
      </c>
      <c r="E65" s="49"/>
    </row>
    <row r="66" spans="1:12" x14ac:dyDescent="0.2">
      <c r="C66" s="52" t="s">
        <v>9</v>
      </c>
      <c r="D66" s="58">
        <f>0.62*D60*((2*32.2*D61)^0.5)</f>
        <v>0</v>
      </c>
      <c r="E66" s="11" t="s">
        <v>99</v>
      </c>
    </row>
    <row r="67" spans="1:12" x14ac:dyDescent="0.2">
      <c r="C67" s="52"/>
      <c r="D67" s="60"/>
    </row>
    <row r="68" spans="1:12" x14ac:dyDescent="0.2">
      <c r="A68" s="51" t="s">
        <v>167</v>
      </c>
      <c r="C68" s="52"/>
      <c r="D68" s="60"/>
    </row>
    <row r="69" spans="1:12" x14ac:dyDescent="0.2">
      <c r="A69" s="151" t="s">
        <v>166</v>
      </c>
      <c r="C69" s="52"/>
      <c r="D69" s="60"/>
    </row>
    <row r="70" spans="1:12" x14ac:dyDescent="0.2">
      <c r="C70" s="52" t="s">
        <v>13</v>
      </c>
      <c r="D70" s="80"/>
      <c r="E70" s="11" t="s">
        <v>102</v>
      </c>
    </row>
    <row r="71" spans="1:12" x14ac:dyDescent="0.2">
      <c r="C71" s="52" t="s">
        <v>13</v>
      </c>
      <c r="D71" s="56">
        <f>+D70/12</f>
        <v>0</v>
      </c>
      <c r="E71" s="11" t="s">
        <v>75</v>
      </c>
    </row>
    <row r="72" spans="1:12" x14ac:dyDescent="0.2">
      <c r="C72" s="52"/>
      <c r="D72" s="56"/>
    </row>
    <row r="73" spans="1:12" x14ac:dyDescent="0.2">
      <c r="C73" s="52" t="s">
        <v>12</v>
      </c>
      <c r="D73" s="81"/>
    </row>
    <row r="74" spans="1:12" x14ac:dyDescent="0.2">
      <c r="C74" s="52" t="s">
        <v>127</v>
      </c>
      <c r="D74" s="55"/>
      <c r="E74" s="11" t="s">
        <v>11</v>
      </c>
    </row>
    <row r="75" spans="1:12" x14ac:dyDescent="0.2">
      <c r="C75" s="52"/>
      <c r="D75" s="82"/>
    </row>
    <row r="76" spans="1:12" ht="15.75" x14ac:dyDescent="0.2">
      <c r="C76" s="52" t="s">
        <v>9</v>
      </c>
      <c r="D76" s="61" t="s">
        <v>10</v>
      </c>
    </row>
    <row r="77" spans="1:12" x14ac:dyDescent="0.2">
      <c r="C77" s="52" t="s">
        <v>9</v>
      </c>
      <c r="D77" s="58" t="e">
        <f>+(0.7854*(D71^2))*(1.486/D73)*((D71/4)^0.667)*(D74^0.5)</f>
        <v>#DIV/0!</v>
      </c>
      <c r="E77" s="11" t="s">
        <v>99</v>
      </c>
    </row>
    <row r="78" spans="1:12" x14ac:dyDescent="0.2">
      <c r="L78" s="69"/>
    </row>
    <row r="79" spans="1:12" x14ac:dyDescent="0.2">
      <c r="A79" s="51" t="s">
        <v>68</v>
      </c>
    </row>
    <row r="80" spans="1:12" x14ac:dyDescent="0.2">
      <c r="A80" s="10"/>
      <c r="B80" s="49"/>
      <c r="C80" s="52" t="s">
        <v>8</v>
      </c>
      <c r="D80" s="53"/>
      <c r="E80" s="11" t="s">
        <v>99</v>
      </c>
    </row>
    <row r="81" spans="1:5" ht="14.25" x14ac:dyDescent="0.25">
      <c r="A81" s="10"/>
      <c r="B81" s="49"/>
      <c r="C81" s="52" t="s">
        <v>108</v>
      </c>
      <c r="D81" s="54">
        <f>D34</f>
        <v>0</v>
      </c>
      <c r="E81" s="11" t="s">
        <v>38</v>
      </c>
    </row>
    <row r="82" spans="1:5" x14ac:dyDescent="0.2">
      <c r="A82" s="10"/>
      <c r="B82" s="49"/>
      <c r="C82" s="52"/>
    </row>
    <row r="83" spans="1:5" ht="14.25" x14ac:dyDescent="0.25">
      <c r="A83" s="10"/>
      <c r="B83" s="49"/>
      <c r="C83" s="52" t="s">
        <v>58</v>
      </c>
      <c r="D83" s="14" t="s">
        <v>109</v>
      </c>
    </row>
    <row r="84" spans="1:5" x14ac:dyDescent="0.2">
      <c r="C84" s="52" t="s">
        <v>69</v>
      </c>
      <c r="D84" s="6" t="e">
        <f>+D80/(D81*D9)</f>
        <v>#DIV/0!</v>
      </c>
      <c r="E84" s="11" t="s">
        <v>104</v>
      </c>
    </row>
    <row r="85" spans="1:5" x14ac:dyDescent="0.2">
      <c r="C85" s="52"/>
    </row>
    <row r="86" spans="1:5" ht="15.75" x14ac:dyDescent="0.2">
      <c r="C86" s="52" t="s">
        <v>7</v>
      </c>
      <c r="D86" s="2" t="s">
        <v>128</v>
      </c>
    </row>
    <row r="87" spans="1:5" x14ac:dyDescent="0.2">
      <c r="C87" s="52" t="s">
        <v>7</v>
      </c>
      <c r="D87" s="5" t="e">
        <f>+((4080/D84)^0.5)-20</f>
        <v>#DIV/0!</v>
      </c>
      <c r="E87" s="11" t="s">
        <v>76</v>
      </c>
    </row>
    <row r="88" spans="1:5" x14ac:dyDescent="0.2">
      <c r="C88" s="52"/>
    </row>
    <row r="89" spans="1:5" x14ac:dyDescent="0.2">
      <c r="A89" s="49"/>
      <c r="C89" s="52" t="s">
        <v>59</v>
      </c>
      <c r="D89" s="2" t="s">
        <v>6</v>
      </c>
      <c r="E89" s="49"/>
    </row>
    <row r="90" spans="1:5" x14ac:dyDescent="0.2">
      <c r="C90" s="52" t="s">
        <v>59</v>
      </c>
      <c r="D90" s="4" t="e">
        <f>+((8160*D87)/(D87+20))-(40*D84*D87)</f>
        <v>#DIV/0!</v>
      </c>
      <c r="E90" s="11" t="s">
        <v>105</v>
      </c>
    </row>
    <row r="91" spans="1:5" ht="13.5" thickBot="1" x14ac:dyDescent="0.25">
      <c r="B91" s="49"/>
      <c r="C91" s="49"/>
      <c r="E91" s="66"/>
    </row>
    <row r="92" spans="1:5" x14ac:dyDescent="0.2">
      <c r="A92" s="108"/>
      <c r="B92" s="109"/>
      <c r="C92" s="110" t="s">
        <v>5</v>
      </c>
      <c r="D92" s="111" t="s">
        <v>4</v>
      </c>
      <c r="E92" s="112"/>
    </row>
    <row r="93" spans="1:5" ht="13.5" thickBot="1" x14ac:dyDescent="0.25">
      <c r="A93" s="113"/>
      <c r="B93" s="114"/>
      <c r="C93" s="115" t="s">
        <v>3</v>
      </c>
      <c r="D93" s="116" t="e">
        <f>+D90*D7*D9</f>
        <v>#DIV/0!</v>
      </c>
      <c r="E93" s="117" t="s">
        <v>100</v>
      </c>
    </row>
    <row r="94" spans="1:5" x14ac:dyDescent="0.2">
      <c r="A94" s="118"/>
      <c r="B94" s="118"/>
      <c r="C94" s="119"/>
      <c r="D94" s="120"/>
      <c r="E94" s="118"/>
    </row>
    <row r="95" spans="1:5" x14ac:dyDescent="0.2">
      <c r="A95" s="118"/>
      <c r="B95" s="118"/>
      <c r="C95" s="119" t="s">
        <v>124</v>
      </c>
      <c r="D95" s="121"/>
      <c r="E95" s="118" t="s">
        <v>100</v>
      </c>
    </row>
    <row r="96" spans="1:5" x14ac:dyDescent="0.2">
      <c r="D96" s="11"/>
    </row>
    <row r="97" spans="1:8" x14ac:dyDescent="0.2">
      <c r="A97" s="106" t="s">
        <v>134</v>
      </c>
      <c r="D97" s="69"/>
    </row>
    <row r="98" spans="1:8" x14ac:dyDescent="0.2">
      <c r="A98" s="135" t="s">
        <v>168</v>
      </c>
      <c r="D98" s="69"/>
    </row>
    <row r="99" spans="1:8" ht="13.5" thickBot="1" x14ac:dyDescent="0.25">
      <c r="C99" s="52" t="s">
        <v>110</v>
      </c>
      <c r="D99" s="70" t="s">
        <v>60</v>
      </c>
    </row>
    <row r="100" spans="1:8" ht="13.5" thickBot="1" x14ac:dyDescent="0.25">
      <c r="C100" s="71" t="s">
        <v>110</v>
      </c>
      <c r="D100" s="68" t="e">
        <f>3630*D7*D9</f>
        <v>#DIV/0!</v>
      </c>
      <c r="E100" s="65" t="s">
        <v>100</v>
      </c>
    </row>
    <row r="101" spans="1:8" x14ac:dyDescent="0.2">
      <c r="C101" s="52"/>
      <c r="D101" s="69"/>
      <c r="H101" s="17"/>
    </row>
    <row r="102" spans="1:8" x14ac:dyDescent="0.2">
      <c r="A102" s="51" t="s">
        <v>111</v>
      </c>
      <c r="C102" s="52"/>
      <c r="D102" s="69"/>
    </row>
    <row r="103" spans="1:8" x14ac:dyDescent="0.2">
      <c r="A103" s="11" t="s">
        <v>61</v>
      </c>
      <c r="C103" s="52"/>
      <c r="D103" s="69"/>
    </row>
    <row r="104" spans="1:8" ht="14.25" x14ac:dyDescent="0.25">
      <c r="A104" s="52" t="s">
        <v>62</v>
      </c>
      <c r="B104" s="72"/>
      <c r="C104" s="52" t="s">
        <v>112</v>
      </c>
      <c r="D104" s="70" t="s">
        <v>122</v>
      </c>
    </row>
    <row r="105" spans="1:8" ht="14.25" x14ac:dyDescent="0.25">
      <c r="C105" s="52" t="s">
        <v>123</v>
      </c>
      <c r="D105" s="73" t="e">
        <f>D100/(B104*3600)</f>
        <v>#DIV/0!</v>
      </c>
      <c r="E105" s="11" t="s">
        <v>99</v>
      </c>
    </row>
    <row r="106" spans="1:8" x14ac:dyDescent="0.2">
      <c r="A106" s="76"/>
      <c r="C106" s="52"/>
      <c r="D106" s="69"/>
    </row>
    <row r="107" spans="1:8" x14ac:dyDescent="0.2">
      <c r="A107" s="51" t="s">
        <v>114</v>
      </c>
    </row>
    <row r="108" spans="1:8" ht="14.25" x14ac:dyDescent="0.25">
      <c r="C108" s="52" t="s">
        <v>115</v>
      </c>
      <c r="D108" s="11" t="s">
        <v>116</v>
      </c>
    </row>
    <row r="109" spans="1:8" x14ac:dyDescent="0.2">
      <c r="C109" s="52" t="s">
        <v>117</v>
      </c>
      <c r="D109" s="102"/>
      <c r="E109" s="59" t="s">
        <v>75</v>
      </c>
    </row>
    <row r="110" spans="1:8" x14ac:dyDescent="0.2">
      <c r="C110" s="52" t="s">
        <v>118</v>
      </c>
      <c r="D110" s="102"/>
      <c r="E110" s="59" t="s">
        <v>75</v>
      </c>
    </row>
    <row r="111" spans="1:8" ht="14.25" x14ac:dyDescent="0.25">
      <c r="C111" s="52" t="s">
        <v>126</v>
      </c>
      <c r="D111" s="123">
        <f>0.667*(D109-D110)</f>
        <v>0</v>
      </c>
      <c r="E111" s="59" t="s">
        <v>75</v>
      </c>
    </row>
    <row r="112" spans="1:8" x14ac:dyDescent="0.2">
      <c r="B112" s="21"/>
    </row>
    <row r="113" spans="1:5" ht="16.5" x14ac:dyDescent="0.25">
      <c r="C113" s="52" t="s">
        <v>113</v>
      </c>
      <c r="D113" s="70" t="s">
        <v>119</v>
      </c>
    </row>
    <row r="114" spans="1:5" ht="14.25" x14ac:dyDescent="0.25">
      <c r="C114" s="52" t="s">
        <v>113</v>
      </c>
      <c r="D114" s="73" t="e">
        <f>D105/((0.62)*(64.4*D111)^0.5)</f>
        <v>#DIV/0!</v>
      </c>
      <c r="E114" s="11" t="s">
        <v>101</v>
      </c>
    </row>
    <row r="115" spans="1:5" ht="13.5" thickBot="1" x14ac:dyDescent="0.25">
      <c r="C115" s="52" t="s">
        <v>120</v>
      </c>
      <c r="D115" s="74" t="e">
        <f>SQRT(D114*144*4/PI())</f>
        <v>#DIV/0!</v>
      </c>
      <c r="E115" s="103" t="s">
        <v>102</v>
      </c>
    </row>
    <row r="116" spans="1:5" ht="13.5" thickBot="1" x14ac:dyDescent="0.25">
      <c r="B116" s="62"/>
      <c r="C116" s="63" t="s">
        <v>121</v>
      </c>
      <c r="D116" s="124"/>
      <c r="E116" s="125" t="s">
        <v>102</v>
      </c>
    </row>
    <row r="117" spans="1:5" x14ac:dyDescent="0.2">
      <c r="D117" s="75" t="e">
        <f>IF(D115&lt;=2, "Minimum diameter of 2 inches", "Round to the Nearest 1/8 inch")</f>
        <v>#DIV/0!</v>
      </c>
      <c r="E117" s="94"/>
    </row>
    <row r="118" spans="1:5" ht="14.25" x14ac:dyDescent="0.25">
      <c r="C118" s="104" t="s">
        <v>125</v>
      </c>
      <c r="D118" s="122">
        <f>(PI()*(D116/2/12)^2*((0.62)*(64.4*D111)^0.5))</f>
        <v>0</v>
      </c>
      <c r="E118" s="105" t="s">
        <v>99</v>
      </c>
    </row>
    <row r="119" spans="1:5" x14ac:dyDescent="0.2">
      <c r="C119" s="52" t="s">
        <v>63</v>
      </c>
      <c r="D119" s="120" t="e">
        <f>(D100/D118)/3600</f>
        <v>#DIV/0!</v>
      </c>
      <c r="E119" s="11" t="s">
        <v>106</v>
      </c>
    </row>
    <row r="120" spans="1:5" x14ac:dyDescent="0.2">
      <c r="C120" s="52"/>
      <c r="D120" s="69"/>
    </row>
    <row r="121" spans="1:5" ht="13.5" customHeight="1" x14ac:dyDescent="0.2">
      <c r="A121" s="189" t="s">
        <v>182</v>
      </c>
      <c r="B121" s="189"/>
      <c r="C121" s="189"/>
      <c r="D121" s="189"/>
      <c r="E121" s="189"/>
    </row>
    <row r="122" spans="1:5" x14ac:dyDescent="0.2">
      <c r="A122" s="189"/>
      <c r="B122" s="189"/>
      <c r="C122" s="189"/>
      <c r="D122" s="189"/>
      <c r="E122" s="189"/>
    </row>
  </sheetData>
  <mergeCells count="1">
    <mergeCell ref="A121:E122"/>
  </mergeCells>
  <conditionalFormatting sqref="D117">
    <cfRule type="containsText" dxfId="1" priority="2" operator="containsText" text="Min">
      <formula>NOT(ISERROR(SEARCH("Min",D117)))</formula>
    </cfRule>
  </conditionalFormatting>
  <dataValidations count="3">
    <dataValidation type="list" allowBlank="1" showInputMessage="1" showErrorMessage="1" sqref="D73" xr:uid="{23DD39DB-510E-4981-9EEC-63A82D259964}">
      <formula1>"0.009,0.012,0.025"</formula1>
    </dataValidation>
    <dataValidation type="list" allowBlank="1" showInputMessage="1" showErrorMessage="1" sqref="D70" xr:uid="{C85436DB-6BCC-42CA-BCCC-EB7A317D9B45}">
      <formula1>"4,6,10,12,15,18,21,24"</formula1>
    </dataValidation>
    <dataValidation type="list" allowBlank="1" showInputMessage="1" showErrorMessage="1" sqref="B104" xr:uid="{74A45612-1239-475B-87D8-247E6F30B4AE}">
      <formula1>"18,19,20,21,22,23,24"</formula1>
    </dataValidation>
  </dataValidations>
  <pageMargins left="0.7" right="0.7" top="0.75" bottom="0.75" header="0.3" footer="0.3"/>
  <pageSetup orientation="portrait" r:id="rId1"/>
  <headerFooter>
    <oddHeader>&amp;LCity of Saginaw
Stormwater Management Plan&amp;R&amp;"-,Bold Italic"&amp;12&amp;A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D302-2721-46DD-96E7-7F99B4B17166}">
  <dimension ref="A1:E53"/>
  <sheetViews>
    <sheetView workbookViewId="0">
      <selection activeCell="F26" sqref="F26"/>
    </sheetView>
  </sheetViews>
  <sheetFormatPr defaultRowHeight="15" x14ac:dyDescent="0.25"/>
  <cols>
    <col min="1" max="1" width="41.28515625" customWidth="1"/>
    <col min="2" max="2" width="13.85546875" customWidth="1"/>
  </cols>
  <sheetData>
    <row r="1" spans="1:2" ht="30" x14ac:dyDescent="0.25">
      <c r="A1" s="83" t="s">
        <v>52</v>
      </c>
      <c r="B1" s="83" t="s">
        <v>70</v>
      </c>
    </row>
    <row r="2" spans="1:2" x14ac:dyDescent="0.25">
      <c r="A2" s="84" t="s">
        <v>83</v>
      </c>
      <c r="B2" s="97">
        <v>0.85</v>
      </c>
    </row>
    <row r="3" spans="1:2" x14ac:dyDescent="0.25">
      <c r="A3" s="84" t="s">
        <v>83</v>
      </c>
      <c r="B3" s="97">
        <v>0.6</v>
      </c>
    </row>
    <row r="4" spans="1:2" x14ac:dyDescent="0.25">
      <c r="A4" s="84" t="s">
        <v>78</v>
      </c>
      <c r="B4" s="97">
        <v>0.4</v>
      </c>
    </row>
    <row r="5" spans="1:2" x14ac:dyDescent="0.25">
      <c r="A5" s="84" t="s">
        <v>79</v>
      </c>
      <c r="B5" s="97">
        <v>0.5</v>
      </c>
    </row>
    <row r="6" spans="1:2" x14ac:dyDescent="0.25">
      <c r="A6" s="84" t="s">
        <v>80</v>
      </c>
      <c r="B6" s="97">
        <v>0.7</v>
      </c>
    </row>
    <row r="7" spans="1:2" x14ac:dyDescent="0.25">
      <c r="A7" s="98" t="s">
        <v>81</v>
      </c>
      <c r="B7" s="97">
        <v>0.35</v>
      </c>
    </row>
    <row r="8" spans="1:2" x14ac:dyDescent="0.25">
      <c r="A8" s="85" t="s">
        <v>82</v>
      </c>
      <c r="B8" s="97">
        <v>0.6</v>
      </c>
    </row>
    <row r="9" spans="1:2" x14ac:dyDescent="0.25">
      <c r="A9" s="99" t="s">
        <v>84</v>
      </c>
      <c r="B9" s="100">
        <v>0.7</v>
      </c>
    </row>
    <row r="10" spans="1:2" x14ac:dyDescent="0.25">
      <c r="A10" s="99" t="s">
        <v>85</v>
      </c>
      <c r="B10" s="100">
        <v>0.9</v>
      </c>
    </row>
    <row r="11" spans="1:2" x14ac:dyDescent="0.25">
      <c r="A11" s="99" t="s">
        <v>86</v>
      </c>
      <c r="B11" s="100">
        <v>0.2</v>
      </c>
    </row>
    <row r="12" spans="1:2" x14ac:dyDescent="0.25">
      <c r="A12" s="99" t="s">
        <v>89</v>
      </c>
      <c r="B12" s="100">
        <v>0.3</v>
      </c>
    </row>
    <row r="13" spans="1:2" x14ac:dyDescent="0.25">
      <c r="A13" s="99" t="s">
        <v>87</v>
      </c>
      <c r="B13" s="100">
        <v>0.3</v>
      </c>
    </row>
    <row r="14" spans="1:2" x14ac:dyDescent="0.25">
      <c r="A14" s="99" t="s">
        <v>88</v>
      </c>
      <c r="B14" s="100">
        <v>0.2</v>
      </c>
    </row>
    <row r="15" spans="1:2" x14ac:dyDescent="0.25">
      <c r="A15" s="99" t="s">
        <v>90</v>
      </c>
      <c r="B15" s="100">
        <v>0.9</v>
      </c>
    </row>
    <row r="16" spans="1:2" x14ac:dyDescent="0.25">
      <c r="A16" s="99" t="s">
        <v>91</v>
      </c>
      <c r="B16" s="100">
        <v>0.8</v>
      </c>
    </row>
    <row r="17" spans="1:5" x14ac:dyDescent="0.25">
      <c r="A17" s="99" t="s">
        <v>92</v>
      </c>
      <c r="B17" s="100">
        <v>0.9</v>
      </c>
    </row>
    <row r="18" spans="1:5" x14ac:dyDescent="0.25">
      <c r="A18" s="99" t="s">
        <v>93</v>
      </c>
      <c r="B18" s="100">
        <v>0.1</v>
      </c>
    </row>
    <row r="19" spans="1:5" x14ac:dyDescent="0.25">
      <c r="A19" s="99" t="s">
        <v>94</v>
      </c>
      <c r="B19" s="100">
        <v>0.15</v>
      </c>
    </row>
    <row r="20" spans="1:5" x14ac:dyDescent="0.25">
      <c r="A20" s="99" t="s">
        <v>97</v>
      </c>
      <c r="B20" s="100">
        <v>0.2</v>
      </c>
    </row>
    <row r="21" spans="1:5" x14ac:dyDescent="0.25">
      <c r="A21" s="99" t="s">
        <v>95</v>
      </c>
      <c r="B21" s="100">
        <v>0.17</v>
      </c>
    </row>
    <row r="22" spans="1:5" x14ac:dyDescent="0.25">
      <c r="A22" s="99" t="s">
        <v>96</v>
      </c>
      <c r="B22" s="100">
        <v>0.22</v>
      </c>
    </row>
    <row r="23" spans="1:5" x14ac:dyDescent="0.25">
      <c r="A23" s="99" t="s">
        <v>98</v>
      </c>
      <c r="B23" s="100">
        <v>0.3</v>
      </c>
    </row>
    <row r="24" spans="1:5" x14ac:dyDescent="0.25">
      <c r="A24" s="99" t="s">
        <v>54</v>
      </c>
      <c r="B24" s="100">
        <v>1</v>
      </c>
    </row>
    <row r="25" spans="1:5" x14ac:dyDescent="0.25">
      <c r="B25" s="101"/>
    </row>
    <row r="28" spans="1:5" x14ac:dyDescent="0.25">
      <c r="A28" s="151" t="s">
        <v>169</v>
      </c>
      <c r="B28" s="11"/>
      <c r="C28" s="152"/>
      <c r="D28" s="14"/>
      <c r="E28" s="11"/>
    </row>
    <row r="29" spans="1:5" x14ac:dyDescent="0.25">
      <c r="A29" s="11"/>
      <c r="B29" s="11"/>
      <c r="C29" s="52" t="s">
        <v>170</v>
      </c>
      <c r="D29" s="148">
        <f>'Stormwater Calculations'!D7</f>
        <v>0</v>
      </c>
      <c r="E29" s="8" t="s">
        <v>38</v>
      </c>
    </row>
    <row r="30" spans="1:5" x14ac:dyDescent="0.25">
      <c r="A30" s="11"/>
      <c r="B30" s="11"/>
      <c r="C30" s="3" t="s">
        <v>155</v>
      </c>
      <c r="D30" s="159" t="e">
        <f>'Runoff Coefficient'!C38</f>
        <v>#DIV/0!</v>
      </c>
      <c r="E30" s="146"/>
    </row>
    <row r="31" spans="1:5" x14ac:dyDescent="0.25">
      <c r="A31" s="11"/>
      <c r="B31" s="11"/>
      <c r="C31" s="146"/>
      <c r="D31" s="147"/>
      <c r="E31" s="146"/>
    </row>
    <row r="32" spans="1:5" x14ac:dyDescent="0.25">
      <c r="A32" s="11"/>
      <c r="B32" s="11"/>
      <c r="C32" s="3" t="s">
        <v>171</v>
      </c>
      <c r="D32" s="143" t="s">
        <v>154</v>
      </c>
      <c r="E32" s="1"/>
    </row>
    <row r="33" spans="1:5" x14ac:dyDescent="0.25">
      <c r="A33" s="11"/>
      <c r="B33" s="11"/>
      <c r="C33" s="3" t="s">
        <v>171</v>
      </c>
      <c r="D33" s="142" t="e">
        <f>7768*D29*D30</f>
        <v>#DIV/0!</v>
      </c>
      <c r="E33" s="1" t="s">
        <v>100</v>
      </c>
    </row>
    <row r="34" spans="1:5" x14ac:dyDescent="0.25">
      <c r="A34" s="11"/>
      <c r="B34" s="11"/>
      <c r="C34" s="1"/>
      <c r="D34" s="142"/>
      <c r="E34" s="3"/>
    </row>
    <row r="35" spans="1:5" x14ac:dyDescent="0.25">
      <c r="A35" s="51" t="s">
        <v>153</v>
      </c>
      <c r="B35" s="11"/>
      <c r="C35" s="52"/>
      <c r="D35" s="69"/>
      <c r="E35" s="11"/>
    </row>
    <row r="36" spans="1:5" x14ac:dyDescent="0.25">
      <c r="A36" s="11"/>
      <c r="B36" s="11"/>
      <c r="C36" s="52" t="s">
        <v>178</v>
      </c>
      <c r="D36" s="56">
        <v>0.2</v>
      </c>
      <c r="E36" s="11" t="s">
        <v>179</v>
      </c>
    </row>
    <row r="37" spans="1:5" x14ac:dyDescent="0.25">
      <c r="A37" s="52"/>
      <c r="B37" s="11"/>
      <c r="C37" s="52" t="s">
        <v>152</v>
      </c>
      <c r="D37" s="70" t="s">
        <v>180</v>
      </c>
      <c r="E37" s="143"/>
    </row>
    <row r="38" spans="1:5" x14ac:dyDescent="0.25">
      <c r="A38" s="11"/>
      <c r="B38" s="11"/>
      <c r="C38" s="52" t="s">
        <v>152</v>
      </c>
      <c r="D38" s="74">
        <f>D29*D36</f>
        <v>0</v>
      </c>
      <c r="E38" s="11" t="s">
        <v>99</v>
      </c>
    </row>
    <row r="39" spans="1:5" x14ac:dyDescent="0.25">
      <c r="A39" s="76"/>
      <c r="B39" s="11"/>
      <c r="C39" s="52"/>
      <c r="D39" s="69"/>
      <c r="E39" s="11"/>
    </row>
    <row r="40" spans="1:5" x14ac:dyDescent="0.25">
      <c r="A40" s="145" t="s">
        <v>172</v>
      </c>
      <c r="B40" s="11"/>
      <c r="C40" s="11"/>
      <c r="D40" s="2"/>
      <c r="E40" s="1"/>
    </row>
    <row r="41" spans="1:5" x14ac:dyDescent="0.25">
      <c r="A41" s="11"/>
      <c r="B41" s="11"/>
      <c r="C41" s="3" t="s">
        <v>173</v>
      </c>
      <c r="D41" s="59" t="s">
        <v>174</v>
      </c>
      <c r="E41" s="1"/>
    </row>
    <row r="42" spans="1:5" x14ac:dyDescent="0.25">
      <c r="A42" s="11"/>
      <c r="B42" s="11"/>
      <c r="C42" s="3" t="s">
        <v>175</v>
      </c>
      <c r="D42" s="153">
        <v>597.5</v>
      </c>
      <c r="E42" s="8" t="s">
        <v>176</v>
      </c>
    </row>
    <row r="43" spans="1:5" x14ac:dyDescent="0.25">
      <c r="A43" s="11"/>
      <c r="B43" s="11"/>
      <c r="C43" s="3" t="s">
        <v>151</v>
      </c>
      <c r="D43" s="154">
        <v>595.5</v>
      </c>
      <c r="E43" s="8" t="s">
        <v>176</v>
      </c>
    </row>
    <row r="44" spans="1:5" x14ac:dyDescent="0.25">
      <c r="A44" s="11"/>
      <c r="B44" s="11"/>
      <c r="C44" s="141" t="s">
        <v>177</v>
      </c>
      <c r="D44" s="144">
        <f>0.667*(D42-D43)</f>
        <v>1.3340000000000001</v>
      </c>
      <c r="E44" s="8" t="s">
        <v>176</v>
      </c>
    </row>
    <row r="45" spans="1:5" x14ac:dyDescent="0.25">
      <c r="A45" s="11"/>
      <c r="B45" s="11"/>
      <c r="C45" s="141"/>
      <c r="D45" s="7"/>
      <c r="E45" s="8"/>
    </row>
    <row r="46" spans="1:5" ht="16.5" x14ac:dyDescent="0.25">
      <c r="A46" s="11"/>
      <c r="B46" s="11"/>
      <c r="C46" s="52" t="s">
        <v>149</v>
      </c>
      <c r="D46" s="70" t="s">
        <v>150</v>
      </c>
      <c r="E46" s="11"/>
    </row>
    <row r="47" spans="1:5" x14ac:dyDescent="0.25">
      <c r="A47" s="11"/>
      <c r="B47" s="11"/>
      <c r="C47" s="52" t="s">
        <v>149</v>
      </c>
      <c r="D47" s="73">
        <f>D38/((0.62)*(64.4*D44)^0.5)</f>
        <v>0</v>
      </c>
      <c r="E47" s="11" t="s">
        <v>101</v>
      </c>
    </row>
    <row r="48" spans="1:5" ht="15.75" thickBot="1" x14ac:dyDescent="0.3">
      <c r="A48" s="11"/>
      <c r="B48" s="11"/>
      <c r="C48" s="52" t="s">
        <v>148</v>
      </c>
      <c r="D48" s="74">
        <f>SQRT(D47*144*4/PI())</f>
        <v>0</v>
      </c>
      <c r="E48" s="103" t="s">
        <v>102</v>
      </c>
    </row>
    <row r="49" spans="1:5" ht="15.75" thickBot="1" x14ac:dyDescent="0.3">
      <c r="A49" s="11"/>
      <c r="B49" s="62"/>
      <c r="C49" s="63" t="s">
        <v>147</v>
      </c>
      <c r="D49" s="155">
        <v>2</v>
      </c>
      <c r="E49" s="125" t="s">
        <v>102</v>
      </c>
    </row>
    <row r="50" spans="1:5" x14ac:dyDescent="0.25">
      <c r="A50" s="11"/>
      <c r="B50" s="11"/>
      <c r="C50" s="11"/>
      <c r="D50" s="75" t="str">
        <f>IF(D48&lt;=2, "Minimum diameter of 2 inches", "Round to the Nearest 1/8 inch")</f>
        <v>Minimum diameter of 2 inches</v>
      </c>
      <c r="E50" s="94"/>
    </row>
    <row r="51" spans="1:5" x14ac:dyDescent="0.25">
      <c r="A51" s="11"/>
      <c r="B51" s="11"/>
      <c r="C51" s="11"/>
      <c r="D51" s="69"/>
      <c r="E51" s="11"/>
    </row>
    <row r="52" spans="1:5" x14ac:dyDescent="0.25">
      <c r="A52" s="11"/>
      <c r="B52" s="11"/>
      <c r="C52" s="104" t="s">
        <v>146</v>
      </c>
      <c r="D52" s="156">
        <f>(PI()*(D49/2/12)^2*((0.62)*(64.4*D44)^0.5))</f>
        <v>0.12537181656007962</v>
      </c>
      <c r="E52" s="105" t="s">
        <v>99</v>
      </c>
    </row>
    <row r="53" spans="1:5" x14ac:dyDescent="0.25">
      <c r="A53" s="11"/>
      <c r="B53" s="11"/>
      <c r="C53" s="157" t="s">
        <v>145</v>
      </c>
      <c r="D53" s="158" t="e">
        <f>(D33/D52)/3600</f>
        <v>#DIV/0!</v>
      </c>
      <c r="E53" s="11" t="s">
        <v>106</v>
      </c>
    </row>
  </sheetData>
  <conditionalFormatting sqref="D50">
    <cfRule type="containsText" dxfId="0" priority="1" operator="containsText" text="Min">
      <formula>NOT(ISERROR(SEARCH("Min",D50)))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Site Description</vt:lpstr>
      <vt:lpstr>Runoff Coefficient</vt:lpstr>
      <vt:lpstr>Stormwater Calculations</vt:lpstr>
      <vt:lpstr>Sheet7</vt:lpstr>
      <vt:lpstr>'Runoff Coefficient'!Print_Area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Coscarelli, Erica A.</dc:creator>
  <cp:lastModifiedBy>Martell, Erica A.</cp:lastModifiedBy>
  <cp:lastPrinted>2019-08-29T18:21:52Z</cp:lastPrinted>
  <dcterms:created xsi:type="dcterms:W3CDTF">2019-08-16T12:01:42Z</dcterms:created>
  <dcterms:modified xsi:type="dcterms:W3CDTF">2020-04-17T19:05:33Z</dcterms:modified>
</cp:coreProperties>
</file>