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M:\Mktg\New Mkt Drive\SASWA\2020 Updates\SWPCC\Thomas\"/>
    </mc:Choice>
  </mc:AlternateContent>
  <xr:revisionPtr revIDLastSave="0" documentId="13_ncr:1_{D9807787-7A7A-4A5F-A686-FF059C1E9026}" xr6:coauthVersionLast="45" xr6:coauthVersionMax="45" xr10:uidLastSave="{00000000-0000-0000-0000-000000000000}"/>
  <bookViews>
    <workbookView xWindow="-120" yWindow="-120" windowWidth="29040" windowHeight="15840" tabRatio="786" xr2:uid="{00000000-000D-0000-FFFF-FFFF00000000}"/>
  </bookViews>
  <sheets>
    <sheet name="Site Description" sheetId="2" r:id="rId1"/>
    <sheet name="Runoff Coefficient" sheetId="3" r:id="rId2"/>
    <sheet name="Stormwater Calculations" sheetId="12" r:id="rId3"/>
    <sheet name="Channel Protection Calculations" sheetId="11" r:id="rId4"/>
  </sheets>
  <definedNames>
    <definedName name="_xlnm.Print_Area" localSheetId="1">'Runoff Coefficient'!$A$1:$F$37</definedName>
    <definedName name="_xlnm.Print_Area" localSheetId="0">'Site Description'!$A$1:$H$45</definedName>
    <definedName name="_xlnm.Print_Area" localSheetId="2">'Stormwater Calculations'!$A$1:$F$124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2" l="1"/>
  <c r="J37" i="2"/>
  <c r="D37" i="2"/>
  <c r="J36" i="2"/>
  <c r="D36" i="2"/>
  <c r="D35" i="2"/>
  <c r="J34" i="2"/>
  <c r="D34" i="2"/>
  <c r="J33" i="2"/>
  <c r="D33" i="2"/>
  <c r="D118" i="12" l="1"/>
  <c r="B15" i="11" s="1"/>
  <c r="D110" i="12"/>
  <c r="D64" i="12"/>
  <c r="D16" i="12"/>
  <c r="D23" i="12" s="1"/>
  <c r="D63" i="12" l="1"/>
  <c r="D31" i="12"/>
  <c r="D27" i="12"/>
  <c r="F2" i="3" l="1"/>
  <c r="D6" i="3"/>
  <c r="F6" i="3" s="1"/>
  <c r="I6" i="3"/>
  <c r="D7" i="3"/>
  <c r="F7" i="3" s="1"/>
  <c r="D8" i="3"/>
  <c r="F8" i="3"/>
  <c r="I8" i="3"/>
  <c r="D9" i="3"/>
  <c r="F9" i="3"/>
  <c r="I9" i="3"/>
  <c r="D10" i="3"/>
  <c r="F10" i="3" s="1"/>
  <c r="D11" i="3"/>
  <c r="F11" i="3" s="1"/>
  <c r="D12" i="3"/>
  <c r="F12" i="3" s="1"/>
  <c r="E13" i="3"/>
  <c r="D120" i="12"/>
  <c r="I10" i="3" l="1"/>
  <c r="F13" i="3"/>
  <c r="D15" i="3" s="1"/>
  <c r="B4" i="11" s="1"/>
  <c r="I12" i="3"/>
  <c r="I11" i="3"/>
  <c r="I7" i="3"/>
  <c r="I13" i="3" s="1"/>
  <c r="D26" i="3" l="1"/>
  <c r="D27" i="3"/>
  <c r="D28" i="3"/>
  <c r="D29" i="3"/>
  <c r="D30" i="3"/>
  <c r="D31" i="3"/>
  <c r="D25" i="3"/>
  <c r="D72" i="12" l="1"/>
  <c r="D78" i="12" s="1"/>
  <c r="B13" i="11" l="1"/>
  <c r="B17" i="11" s="1"/>
  <c r="F21" i="3" l="1"/>
  <c r="E32" i="3"/>
  <c r="D8" i="12" s="1"/>
  <c r="I31" i="3"/>
  <c r="I30" i="3"/>
  <c r="F29" i="3"/>
  <c r="I28" i="3"/>
  <c r="I27" i="3"/>
  <c r="I26" i="3"/>
  <c r="I25" i="3"/>
  <c r="D37" i="12" l="1"/>
  <c r="B3" i="11"/>
  <c r="B7" i="11" s="1"/>
  <c r="D18" i="12"/>
  <c r="D19" i="12"/>
  <c r="I29" i="3"/>
  <c r="I32" i="3" s="1"/>
  <c r="F27" i="3"/>
  <c r="F30" i="3"/>
  <c r="F25" i="3"/>
  <c r="F28" i="3"/>
  <c r="F31" i="3"/>
  <c r="F26" i="3"/>
  <c r="B20" i="11" l="1"/>
  <c r="B21" i="11" s="1"/>
  <c r="D34" i="12"/>
  <c r="F32" i="3"/>
  <c r="D34" i="3" s="1"/>
  <c r="D10" i="12" s="1"/>
  <c r="D84" i="12" s="1"/>
  <c r="D87" i="12" s="1"/>
  <c r="D90" i="12" s="1"/>
  <c r="D93" i="12" s="1"/>
  <c r="D40" i="12" l="1"/>
  <c r="D43" i="12" s="1"/>
  <c r="D46" i="12" s="1"/>
  <c r="D49" i="12" s="1"/>
  <c r="D55" i="12"/>
  <c r="D59" i="12" s="1"/>
  <c r="D57" i="12" l="1"/>
  <c r="D58" i="12" s="1"/>
  <c r="D99" i="12"/>
  <c r="B31" i="11" s="1"/>
  <c r="D123" i="12" l="1"/>
  <c r="B28" i="11" s="1"/>
  <c r="B35" i="11" s="1"/>
  <c r="B38" i="11" s="1"/>
  <c r="D104" i="12"/>
  <c r="B41" i="11" l="1"/>
  <c r="B44" i="11" s="1"/>
  <c r="B45" i="11" s="1"/>
  <c r="B46" i="11" s="1"/>
  <c r="D113" i="12"/>
  <c r="D114" i="12" s="1"/>
  <c r="D116" i="12" s="1"/>
  <c r="D67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  <author>Martell, Erica A.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Enter value given by township engineer or leave as 0%</t>
        </r>
      </text>
    </comment>
    <comment ref="D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Enter the length in feet from the highest elevation to the design outlet point.</t>
        </r>
      </text>
    </comment>
    <comment ref="D13" authorId="1" shapeId="0" xr:uid="{C0F2354A-1E38-4394-9E66-A21BF3CB62EA}">
      <text>
        <r>
          <rPr>
            <b/>
            <sz val="9"/>
            <color indexed="81"/>
            <rFont val="Tahoma"/>
            <family val="2"/>
          </rPr>
          <t>Average velocity between 1.0 and 2.5 fps</t>
        </r>
      </text>
    </comment>
    <comment ref="D14" authorId="1" shapeId="0" xr:uid="{D8325CFF-E37B-4B1F-A1CB-CECE6B3F7970}">
      <text>
        <r>
          <rPr>
            <b/>
            <sz val="9"/>
            <color indexed="81"/>
            <rFont val="Tahoma"/>
            <family val="2"/>
          </rPr>
          <t>Lag time between 15 and 20 minutes</t>
        </r>
      </text>
    </comment>
    <comment ref="D52" authorId="0" shapeId="0" xr:uid="{8A4605E2-70CB-4E05-9990-DC8C5D652296}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62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67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7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7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75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78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81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108" authorId="0" shapeId="0" xr:uid="{64B0852B-ED44-4ABB-A730-281D44149B1E}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09" authorId="0" shapeId="0" xr:uid="{FB73821A-3453-4630-8BCF-67D6374425E7}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B1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Enter maximum water elevation in pond when banks are full.</t>
        </r>
      </text>
    </comment>
  </commentList>
</comments>
</file>

<file path=xl/sharedStrings.xml><?xml version="1.0" encoding="utf-8"?>
<sst xmlns="http://schemas.openxmlformats.org/spreadsheetml/2006/main" count="311" uniqueCount="181">
  <si>
    <t>PROJECT:</t>
  </si>
  <si>
    <t>DATE:</t>
  </si>
  <si>
    <t>ENGINEER:</t>
  </si>
  <si>
    <t>DETERMINE ALLOWABLE DISCHARGE:</t>
  </si>
  <si>
    <t>Receiving Drain/ Storm Sewer/ Etc.:</t>
  </si>
  <si>
    <t>%</t>
  </si>
  <si>
    <t>Intensity (I) =</t>
  </si>
  <si>
    <t>DETERMINE REQUIRED STORAGE:</t>
  </si>
  <si>
    <t>Storage Time (T) =</t>
  </si>
  <si>
    <t>Head Differential (dH) =</t>
  </si>
  <si>
    <t>(Center of Orifice to Maximum Ponding Elevation)</t>
  </si>
  <si>
    <r>
      <t>Qa/[0.62(64.4(dH))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]</t>
    </r>
  </si>
  <si>
    <t>Diameter of Orifice =</t>
  </si>
  <si>
    <t>Actual Restricted Discharge (Qr) =</t>
  </si>
  <si>
    <t>Diameter of Line (D) =</t>
  </si>
  <si>
    <t>Manning's roughness coefficient (n) =</t>
  </si>
  <si>
    <t>(Based on Actual Restricted Discharge)</t>
  </si>
  <si>
    <t>1)  Township:</t>
  </si>
  <si>
    <t>2)  County:</t>
  </si>
  <si>
    <t>4)  Zoned:</t>
  </si>
  <si>
    <t>5)  Design Storm:</t>
  </si>
  <si>
    <t>6)  Impervious Factor:</t>
  </si>
  <si>
    <t xml:space="preserve">Total Site </t>
  </si>
  <si>
    <t xml:space="preserve">Building Envelope </t>
  </si>
  <si>
    <t xml:space="preserve">Parking Lot </t>
  </si>
  <si>
    <t xml:space="preserve">Sidewalk </t>
  </si>
  <si>
    <t xml:space="preserve">Grass </t>
  </si>
  <si>
    <t>sf</t>
  </si>
  <si>
    <t>acres</t>
  </si>
  <si>
    <t>LOCATION:</t>
  </si>
  <si>
    <t>PURPOSE:</t>
  </si>
  <si>
    <t>GIVEN:</t>
  </si>
  <si>
    <t>REFERENCES:</t>
  </si>
  <si>
    <t xml:space="preserve">DRAINAGE </t>
  </si>
  <si>
    <t>DISTRICT:</t>
  </si>
  <si>
    <t>3)  Parcel #:</t>
  </si>
  <si>
    <t>Project:</t>
  </si>
  <si>
    <t>Date:</t>
  </si>
  <si>
    <t>Location:</t>
  </si>
  <si>
    <t>C</t>
  </si>
  <si>
    <t>Area (acres)</t>
  </si>
  <si>
    <t>Totals =</t>
  </si>
  <si>
    <t>Lawn Area</t>
  </si>
  <si>
    <t>Water</t>
  </si>
  <si>
    <t>Length of runoff (L) =</t>
  </si>
  <si>
    <t>C x Area</t>
  </si>
  <si>
    <r>
      <t>T</t>
    </r>
    <r>
      <rPr>
        <vertAlign val="subscript"/>
        <sz val="10"/>
        <rFont val="Times New Roman"/>
        <family val="1"/>
      </rPr>
      <t>rem</t>
    </r>
    <r>
      <rPr>
        <sz val="10"/>
        <rFont val="Times New Roman"/>
        <family val="1"/>
      </rPr>
      <t xml:space="preserve"> * Q</t>
    </r>
    <r>
      <rPr>
        <vertAlign val="subscript"/>
        <sz val="10"/>
        <rFont val="Times New Roman"/>
        <family val="1"/>
      </rPr>
      <t>1</t>
    </r>
  </si>
  <si>
    <r>
      <t>V</t>
    </r>
    <r>
      <rPr>
        <vertAlign val="subscript"/>
        <sz val="10"/>
        <rFont val="Times New Roman"/>
        <family val="1"/>
      </rPr>
      <t>rem</t>
    </r>
    <r>
      <rPr>
        <sz val="10"/>
        <rFont val="Times New Roman"/>
        <family val="1"/>
      </rPr>
      <t xml:space="preserve"> - V</t>
    </r>
    <r>
      <rPr>
        <vertAlign val="subscript"/>
        <sz val="10"/>
        <rFont val="Times New Roman"/>
        <family val="1"/>
      </rPr>
      <t>1</t>
    </r>
  </si>
  <si>
    <t>inches</t>
  </si>
  <si>
    <t>Saginaw County</t>
  </si>
  <si>
    <t>(if applicable)</t>
  </si>
  <si>
    <t>RUNOFF COEFFICIENT- EXISTING CONDITIONS</t>
  </si>
  <si>
    <t>RUNOFF COEFFICIENT- PROPOSED CONDITIONS</t>
  </si>
  <si>
    <t>DETERMINE RESTRICTOR AREA BASED ON ORIFICE EQUATION:</t>
  </si>
  <si>
    <t xml:space="preserve">DETERMINE ACTUAL RESTRICTED DISCHARGE (ORIFICE EQUATION): </t>
  </si>
  <si>
    <t>DETERMINE ACTUAL RESTRICTED DISCHARGE (METERING LINE):</t>
  </si>
  <si>
    <t>DETERMINE REQUIRED STORAGE BASED ON ACTUAL RESTRICTED DISCHARGE:</t>
  </si>
  <si>
    <t>Maximum Circular Orifice Diameter =</t>
  </si>
  <si>
    <t>Vs x A x Cw</t>
  </si>
  <si>
    <t>Total Volume of Storage Required for the Site (Vt) =</t>
  </si>
  <si>
    <t>Max. Vol.of Storage per Acre (Vs) =</t>
  </si>
  <si>
    <t>Maximum Outflow per Acre (Qo)  =</t>
  </si>
  <si>
    <t xml:space="preserve">Actual Restr. Disch., Orifice or Metering Line (Qr): </t>
  </si>
  <si>
    <r>
      <t>((pi/4)*D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)(1.486/n)(D/4)</t>
    </r>
    <r>
      <rPr>
        <vertAlign val="superscript"/>
        <sz val="10"/>
        <rFont val="Times New Roman"/>
        <family val="1"/>
      </rPr>
      <t>2/3</t>
    </r>
    <r>
      <rPr>
        <sz val="10"/>
        <rFont val="Times New Roman"/>
        <family val="1"/>
      </rPr>
      <t>(s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</si>
  <si>
    <r>
      <t>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/Area of orifice</t>
    </r>
  </si>
  <si>
    <t xml:space="preserve">Number of Holes Needed= </t>
  </si>
  <si>
    <t xml:space="preserve">Area of Orifice = </t>
  </si>
  <si>
    <t>Area of orifice (a) =</t>
  </si>
  <si>
    <t>Maximum Outflow per Contributing Acre (Qo)  =</t>
  </si>
  <si>
    <t>Qa/ A*Cw</t>
  </si>
  <si>
    <t>Allowable Discharge (Qa) =</t>
  </si>
  <si>
    <t>(Ci)(I)(Ai)+(Cp)(I)(Ap)</t>
  </si>
  <si>
    <t>Impervious Area Runoff Coefficient (Ci) =</t>
  </si>
  <si>
    <t>Tc/(8+Tc)</t>
  </si>
  <si>
    <t>Pervious Area Runoff Coefficient (Cp) =</t>
  </si>
  <si>
    <t>Tc/(80+4Tc)</t>
  </si>
  <si>
    <t>175/(25+Tc)</t>
  </si>
  <si>
    <t>Allowable Discharge Impervious Area (Ai) =</t>
  </si>
  <si>
    <t>Allowable Discharge Pervious Area (Ap) =</t>
  </si>
  <si>
    <t>Time of Concentration (Tc) =</t>
  </si>
  <si>
    <t>Impervious Factor (IF) =</t>
  </si>
  <si>
    <t>Impervious Area (Pavements/Roofs/Buildings)</t>
  </si>
  <si>
    <t>Park/Playground/Cemetery Area</t>
  </si>
  <si>
    <t>Woodland Area</t>
  </si>
  <si>
    <t>Pasture Area</t>
  </si>
  <si>
    <t>Cultivated Area</t>
  </si>
  <si>
    <t>SITE DRAINAGE SUMMARY:</t>
  </si>
  <si>
    <t>SITE STATISTICS:</t>
  </si>
  <si>
    <r>
      <t>C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 (Total C x Area) / Total Area =</t>
    </r>
  </si>
  <si>
    <r>
      <t>C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 (Total C  x Area) / Total Area =</t>
    </r>
  </si>
  <si>
    <t>cubic feet</t>
  </si>
  <si>
    <t>Contributing Drainage Area (A) =</t>
  </si>
  <si>
    <t xml:space="preserve">Weighted Runoff Coeff (Cw) = </t>
  </si>
  <si>
    <t>DETERMINE REQUIRED WATER QUALITY VOLUME:</t>
  </si>
  <si>
    <t>DETERMINATION OF WQ RELEASE RATE:</t>
  </si>
  <si>
    <t>DETERMINE AREA OF WQ ORIFICE:</t>
  </si>
  <si>
    <t>3630 x A x Cw</t>
  </si>
  <si>
    <t>Goal is a holding time of 18 (minimum) to 24 hrs.</t>
  </si>
  <si>
    <t>Use X hrs  =</t>
  </si>
  <si>
    <t>cfs</t>
  </si>
  <si>
    <r>
      <t>WQ Head Differential (h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) = </t>
    </r>
  </si>
  <si>
    <t>0.667*(elevation WQ - elevation WQ orifice invert)</t>
  </si>
  <si>
    <t>Elevation WQ =</t>
  </si>
  <si>
    <t>feet</t>
  </si>
  <si>
    <t>Elevation WQ orifice invert =</t>
  </si>
  <si>
    <t>square feet</t>
  </si>
  <si>
    <t>Diameter of WQ Orifice =</t>
  </si>
  <si>
    <t>Actual Diameter of WQ Orifice =</t>
  </si>
  <si>
    <t>hrs</t>
  </si>
  <si>
    <r>
      <t>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 = </t>
    </r>
  </si>
  <si>
    <r>
      <t>(6562.5/Qo)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-25</t>
    </r>
  </si>
  <si>
    <t>[(10500xT)/(T+25)]-(40xQoxT)</t>
  </si>
  <si>
    <t>holes</t>
  </si>
  <si>
    <r>
      <t>0.62*A*(2*g*dH)</t>
    </r>
    <r>
      <rPr>
        <vertAlign val="superscript"/>
        <sz val="10"/>
        <rFont val="Times New Roman"/>
        <family val="1"/>
      </rPr>
      <t>1/2</t>
    </r>
  </si>
  <si>
    <t>Slope of Hydraulic Grade Line (s) =</t>
  </si>
  <si>
    <t>Qr/ A * Cw</t>
  </si>
  <si>
    <r>
      <t>Weighted Runoff Coeff Existing Cond. (C</t>
    </r>
    <r>
      <rPr>
        <vertAlign val="subscript"/>
        <sz val="10"/>
        <rFont val="Times New Roman"/>
        <family val="1"/>
      </rPr>
      <t>w Ex</t>
    </r>
    <r>
      <rPr>
        <sz val="10"/>
        <rFont val="Times New Roman"/>
        <family val="1"/>
      </rPr>
      <t xml:space="preserve">) = </t>
    </r>
  </si>
  <si>
    <r>
      <t>Time Remaining (T</t>
    </r>
    <r>
      <rPr>
        <vertAlign val="subscript"/>
        <sz val="10"/>
        <rFont val="Times New Roman"/>
        <family val="1"/>
      </rPr>
      <t>rem</t>
    </r>
    <r>
      <rPr>
        <sz val="10"/>
        <rFont val="Times New Roman"/>
        <family val="1"/>
      </rPr>
      <t>) =</t>
    </r>
  </si>
  <si>
    <r>
      <t>Remaining Volume to Discharge (V</t>
    </r>
    <r>
      <rPr>
        <vertAlign val="subscript"/>
        <sz val="10"/>
        <rFont val="Times New Roman"/>
        <family val="1"/>
      </rPr>
      <t>rem</t>
    </r>
    <r>
      <rPr>
        <sz val="10"/>
        <rFont val="Times New Roman"/>
        <family val="1"/>
      </rPr>
      <t>) =</t>
    </r>
  </si>
  <si>
    <t>Elevation Orifice Invert =</t>
  </si>
  <si>
    <r>
      <t>T</t>
    </r>
    <r>
      <rPr>
        <vertAlign val="subscript"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 - T</t>
    </r>
    <r>
      <rPr>
        <vertAlign val="subscript"/>
        <sz val="10"/>
        <rFont val="Times New Roman"/>
        <family val="1"/>
      </rPr>
      <t>WQ New</t>
    </r>
  </si>
  <si>
    <t>minutes</t>
  </si>
  <si>
    <t>inches / hour</t>
  </si>
  <si>
    <t>Tc&gt;30 min.</t>
  </si>
  <si>
    <t>Tc&lt;=30 min.</t>
  </si>
  <si>
    <t>cfs/ acre</t>
  </si>
  <si>
    <t>cubic feet / acre</t>
  </si>
  <si>
    <t>cfs / acre</t>
  </si>
  <si>
    <t>Provided Storage Volume =</t>
  </si>
  <si>
    <r>
      <t>WQ Volume (V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>) =</t>
    </r>
  </si>
  <si>
    <r>
      <t>hrs holding time Q</t>
    </r>
    <r>
      <rPr>
        <vertAlign val="subscript"/>
        <sz val="10"/>
        <rFont val="Times New Roman"/>
        <family val="1"/>
      </rPr>
      <t xml:space="preserve">WQ </t>
    </r>
    <r>
      <rPr>
        <sz val="10"/>
        <rFont val="Times New Roman"/>
        <family val="1"/>
      </rPr>
      <t xml:space="preserve">= </t>
    </r>
  </si>
  <si>
    <r>
      <t>Q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 = </t>
    </r>
  </si>
  <si>
    <r>
      <t>V</t>
    </r>
    <r>
      <rPr>
        <vertAlign val="subscript"/>
        <sz val="10"/>
        <rFont val="Times New Roman"/>
        <family val="1"/>
      </rPr>
      <t xml:space="preserve">WQ </t>
    </r>
    <r>
      <rPr>
        <sz val="10"/>
        <rFont val="Times New Roman"/>
        <family val="1"/>
      </rPr>
      <t>/ (X*3600)</t>
    </r>
  </si>
  <si>
    <r>
      <t>Q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</si>
  <si>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t>Thomas Township</t>
  </si>
  <si>
    <t>L/(v*60)+Lt</t>
  </si>
  <si>
    <t xml:space="preserve">Average velocity (v) = </t>
  </si>
  <si>
    <t>feet / second</t>
  </si>
  <si>
    <t>Lag Time (Lt) =</t>
  </si>
  <si>
    <t>136/(20+Tc)</t>
  </si>
  <si>
    <r>
      <t>(4080/Qo)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-20</t>
    </r>
  </si>
  <si>
    <t>[(8160xT)/(T+20)]-(40xQoxT)</t>
  </si>
  <si>
    <r>
      <t>Actual Q</t>
    </r>
    <r>
      <rPr>
        <vertAlign val="subscript"/>
        <sz val="10"/>
        <rFont val="Times New Roman"/>
        <family val="1"/>
      </rPr>
      <t xml:space="preserve">WQ New </t>
    </r>
    <r>
      <rPr>
        <sz val="10"/>
        <rFont val="Times New Roman"/>
        <family val="1"/>
      </rPr>
      <t>=</t>
    </r>
  </si>
  <si>
    <r>
      <t>Actual Area of Water Quality Orifice (A</t>
    </r>
    <r>
      <rPr>
        <vertAlign val="subscript"/>
        <sz val="10"/>
        <rFont val="Times New Roman"/>
        <family val="1"/>
      </rPr>
      <t>WQ New</t>
    </r>
    <r>
      <rPr>
        <sz val="10"/>
        <rFont val="Times New Roman"/>
        <family val="1"/>
      </rPr>
      <t xml:space="preserve">) = </t>
    </r>
  </si>
  <si>
    <r>
      <t>A</t>
    </r>
    <r>
      <rPr>
        <vertAlign val="subscript"/>
        <sz val="10"/>
        <rFont val="Times New Roman"/>
        <family val="1"/>
      </rPr>
      <t>WQ New</t>
    </r>
    <r>
      <rPr>
        <sz val="10"/>
        <rFont val="Times New Roman"/>
        <family val="1"/>
      </rPr>
      <t>*0.62*(2g h</t>
    </r>
    <r>
      <rPr>
        <vertAlign val="subscript"/>
        <sz val="10"/>
        <rFont val="Times New Roman"/>
        <family val="1"/>
      </rPr>
      <t xml:space="preserve">ave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</si>
  <si>
    <r>
      <t>New Holding Time (T</t>
    </r>
    <r>
      <rPr>
        <vertAlign val="subscript"/>
        <sz val="10"/>
        <rFont val="Times New Roman"/>
        <family val="1"/>
      </rPr>
      <t>ff New</t>
    </r>
    <r>
      <rPr>
        <sz val="10"/>
        <rFont val="Times New Roman"/>
        <family val="1"/>
      </rPr>
      <t>) =</t>
    </r>
  </si>
  <si>
    <r>
      <t>V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 / Q</t>
    </r>
    <r>
      <rPr>
        <vertAlign val="subscript"/>
        <sz val="10"/>
        <rFont val="Times New Roman"/>
        <family val="1"/>
      </rPr>
      <t>WQ New</t>
    </r>
  </si>
  <si>
    <r>
      <t>7768*A*C</t>
    </r>
    <r>
      <rPr>
        <vertAlign val="subscript"/>
        <sz val="10"/>
        <rFont val="Times New Roman"/>
        <family val="1"/>
      </rPr>
      <t>w Ex</t>
    </r>
  </si>
  <si>
    <r>
      <t>CP Volume (V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</si>
  <si>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t>DETERMINE REQUIRED CHANNEL PROTECTION STORAGE:</t>
  </si>
  <si>
    <t xml:space="preserve">Storm Water Management Plan Thomas Township 2020 </t>
  </si>
  <si>
    <t>(or address)</t>
  </si>
  <si>
    <t>PROJECT NAME:</t>
  </si>
  <si>
    <t>PROJECT #:</t>
  </si>
  <si>
    <t>(Type of development or describe project)</t>
  </si>
  <si>
    <t xml:space="preserve">Existing Conditions </t>
  </si>
  <si>
    <t xml:space="preserve">Proposed Conditions </t>
  </si>
  <si>
    <t>ac</t>
  </si>
  <si>
    <t>Provide a description of site conditions or drainage strategies for reviewer</t>
  </si>
  <si>
    <t>Complete if using a metering line to restrict flow</t>
  </si>
  <si>
    <r>
      <t>Area of Water Quality Orifice (A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) = </t>
    </r>
  </si>
  <si>
    <r>
      <t>Discharge through WQ Orifice (Q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 =</t>
    </r>
  </si>
  <si>
    <t>0.667*(elevation CP - elevation orifice invert)</t>
  </si>
  <si>
    <t>Elevation Channel Protection =</t>
  </si>
  <si>
    <r>
      <t>Volume Released by WQ Orifice (V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 =</t>
    </r>
  </si>
  <si>
    <r>
      <t>Volume Released by CP Orifice (V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</si>
  <si>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t>DETERMINE IN ADDITIONAL CP ORIFICE IS NECESSARY:</t>
  </si>
  <si>
    <r>
      <t>Head Differential (h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) = </t>
    </r>
  </si>
  <si>
    <t>DETERMINE AREA OF ADDITIONAL CP ORIFICE:</t>
  </si>
  <si>
    <r>
      <t>Actual Area of Water Quality Orifice (A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) = </t>
    </r>
  </si>
  <si>
    <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T</t>
    </r>
    <r>
      <rPr>
        <vertAlign val="subscript"/>
        <sz val="10"/>
        <rFont val="Times New Roman"/>
        <family val="1"/>
      </rPr>
      <t>rem</t>
    </r>
  </si>
  <si>
    <r>
      <t>Discharge through CP Orifice (Q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</si>
  <si>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Q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/ ((0.62)*(2g* 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 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</si>
  <si>
    <r>
      <t>Area of Channel Protection Orifice (A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</si>
  <si>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t>Diameter of CP Orifice =</t>
  </si>
  <si>
    <r>
      <t>A</t>
    </r>
    <r>
      <rPr>
        <vertAlign val="subscript"/>
        <sz val="10"/>
        <rFont val="Times New Roman"/>
        <family val="1"/>
      </rPr>
      <t xml:space="preserve">WQ </t>
    </r>
    <r>
      <rPr>
        <sz val="10"/>
        <rFont val="Times New Roman"/>
        <family val="1"/>
      </rPr>
      <t>*(2g*h</t>
    </r>
    <r>
      <rPr>
        <vertAlign val="subscript"/>
        <sz val="10"/>
        <rFont val="Times New Roman"/>
        <family val="1"/>
      </rPr>
      <t>ave,WQ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</si>
  <si>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Channel Protection Hold Time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</si>
  <si>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r>
      <t xml:space="preserve">CP Hold Time  (T </t>
    </r>
    <r>
      <rPr>
        <vertAlign val="subscript"/>
        <sz val="10"/>
        <rFont val="Times New Roman"/>
        <family val="1"/>
      </rPr>
      <t>total</t>
    </r>
    <r>
      <rPr>
        <sz val="10"/>
        <rFont val="Times New Roman"/>
        <family val="1"/>
      </rPr>
      <t xml:space="preserve">)= </t>
    </r>
  </si>
  <si>
    <r>
      <t>V</t>
    </r>
    <r>
      <rPr>
        <vertAlign val="subscript"/>
        <sz val="10"/>
        <rFont val="Times New Roman"/>
        <family val="1"/>
      </rPr>
      <t xml:space="preserve">CP </t>
    </r>
    <r>
      <rPr>
        <sz val="10"/>
        <rFont val="Times New Roman"/>
        <family val="1"/>
      </rPr>
      <t>- V</t>
    </r>
    <r>
      <rPr>
        <vertAlign val="subscript"/>
        <sz val="10"/>
        <rFont val="Times New Roman"/>
        <family val="1"/>
      </rPr>
      <t>WQ</t>
    </r>
  </si>
  <si>
    <r>
      <t>V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/ Q</t>
    </r>
    <r>
      <rPr>
        <vertAlign val="subscript"/>
        <sz val="10"/>
        <rFont val="Times New Roman"/>
        <family val="1"/>
      </rPr>
      <t>1</t>
    </r>
  </si>
  <si>
    <t>Note that this is only necessary if the Tcp is greater than 48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</si>
</sst>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000"/>
    <numFmt numFmtId="168" formatCode="#,##0.00000"/>
    <numFmt numFmtId="169" formatCode="0.0000;\-0.0000;;@"/>
    <numFmt numFmtId="170" formatCode="0;\-0;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1" applyNumberFormat="1" applyFont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2" borderId="9" xfId="0" applyFont="1" applyFill="1" applyBorder="1"/>
    <xf numFmtId="0" fontId="8" fillId="2" borderId="6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8" fillId="0" borderId="19" xfId="0" applyFont="1" applyFill="1" applyBorder="1"/>
    <xf numFmtId="166" fontId="8" fillId="0" borderId="0" xfId="0" applyNumberFormat="1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/>
    <xf numFmtId="0" fontId="11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2" borderId="0" xfId="0" applyFont="1" applyFill="1" applyBorder="1"/>
    <xf numFmtId="0" fontId="8" fillId="2" borderId="19" xfId="0" applyFont="1" applyFill="1" applyBorder="1"/>
    <xf numFmtId="0" fontId="8" fillId="0" borderId="9" xfId="0" applyFont="1" applyFill="1" applyBorder="1"/>
    <xf numFmtId="0" fontId="8" fillId="0" borderId="16" xfId="0" applyFont="1" applyBorder="1"/>
    <xf numFmtId="0" fontId="8" fillId="0" borderId="16" xfId="0" applyFont="1" applyBorder="1" applyAlignment="1">
      <alignment horizontal="right"/>
    </xf>
    <xf numFmtId="0" fontId="8" fillId="0" borderId="21" xfId="0" applyFont="1" applyBorder="1"/>
    <xf numFmtId="0" fontId="16" fillId="0" borderId="8" xfId="0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16" fillId="0" borderId="9" xfId="0" applyFont="1" applyBorder="1" applyAlignment="1">
      <alignment horizontal="right"/>
    </xf>
    <xf numFmtId="10" fontId="3" fillId="3" borderId="0" xfId="2" applyNumberFormat="1" applyFont="1" applyFill="1" applyAlignment="1" applyProtection="1">
      <alignment horizontal="center"/>
      <protection locked="0"/>
    </xf>
    <xf numFmtId="0" fontId="1" fillId="0" borderId="0" xfId="3"/>
    <xf numFmtId="0" fontId="3" fillId="0" borderId="0" xfId="3" applyFont="1"/>
    <xf numFmtId="2" fontId="3" fillId="0" borderId="0" xfId="3" applyNumberFormat="1" applyFont="1"/>
    <xf numFmtId="1" fontId="2" fillId="0" borderId="0" xfId="3" applyNumberFormat="1" applyFont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6" fillId="0" borderId="0" xfId="3" applyFont="1"/>
    <xf numFmtId="0" fontId="3" fillId="0" borderId="0" xfId="3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0" fontId="1" fillId="0" borderId="0" xfId="3" applyFont="1"/>
    <xf numFmtId="1" fontId="3" fillId="0" borderId="0" xfId="3" applyNumberFormat="1" applyFont="1"/>
    <xf numFmtId="0" fontId="2" fillId="0" borderId="0" xfId="3" applyFont="1"/>
    <xf numFmtId="0" fontId="3" fillId="3" borderId="0" xfId="3" applyFont="1" applyFill="1" applyAlignment="1" applyProtection="1">
      <alignment horizontal="center"/>
      <protection locked="0"/>
    </xf>
    <xf numFmtId="166" fontId="3" fillId="3" borderId="0" xfId="3" applyNumberFormat="1" applyFont="1" applyFill="1" applyAlignment="1" applyProtection="1">
      <alignment horizontal="center"/>
      <protection locked="0"/>
    </xf>
    <xf numFmtId="165" fontId="3" fillId="3" borderId="0" xfId="3" applyNumberFormat="1" applyFont="1" applyFill="1" applyAlignment="1" applyProtection="1">
      <alignment horizontal="center"/>
      <protection locked="0"/>
    </xf>
    <xf numFmtId="2" fontId="8" fillId="0" borderId="5" xfId="0" applyNumberFormat="1" applyFont="1" applyFill="1" applyBorder="1" applyAlignment="1" applyProtection="1">
      <alignment horizontal="center"/>
      <protection locked="0"/>
    </xf>
    <xf numFmtId="2" fontId="8" fillId="0" borderId="13" xfId="0" applyNumberFormat="1" applyFont="1" applyFill="1" applyBorder="1" applyAlignment="1" applyProtection="1">
      <alignment horizontal="center"/>
      <protection locked="0"/>
    </xf>
    <xf numFmtId="2" fontId="8" fillId="0" borderId="7" xfId="0" applyNumberFormat="1" applyFont="1" applyFill="1" applyBorder="1" applyAlignment="1" applyProtection="1">
      <alignment horizontal="center"/>
      <protection locked="0"/>
    </xf>
    <xf numFmtId="2" fontId="8" fillId="0" borderId="22" xfId="0" applyNumberFormat="1" applyFont="1" applyFill="1" applyBorder="1" applyAlignment="1" applyProtection="1">
      <alignment horizontal="center"/>
      <protection locked="0"/>
    </xf>
    <xf numFmtId="0" fontId="6" fillId="0" borderId="0" xfId="3" applyFont="1" applyProtection="1"/>
    <xf numFmtId="0" fontId="1" fillId="0" borderId="0" xfId="3" applyFont="1" applyProtection="1"/>
    <xf numFmtId="0" fontId="3" fillId="0" borderId="0" xfId="3" applyFont="1" applyProtection="1"/>
    <xf numFmtId="0" fontId="3" fillId="0" borderId="0" xfId="3" applyFont="1" applyAlignment="1" applyProtection="1">
      <alignment horizontal="center"/>
    </xf>
    <xf numFmtId="0" fontId="2" fillId="0" borderId="0" xfId="3" applyFont="1" applyProtection="1"/>
    <xf numFmtId="0" fontId="3" fillId="0" borderId="0" xfId="3" applyFont="1" applyAlignment="1" applyProtection="1">
      <alignment horizontal="right"/>
    </xf>
    <xf numFmtId="2" fontId="3" fillId="0" borderId="0" xfId="3" applyNumberFormat="1" applyFont="1" applyFill="1" applyAlignment="1" applyProtection="1">
      <alignment horizontal="center"/>
    </xf>
    <xf numFmtId="9" fontId="3" fillId="0" borderId="0" xfId="2" applyFont="1" applyProtection="1"/>
    <xf numFmtId="0" fontId="3" fillId="0" borderId="0" xfId="3" applyFont="1" applyFill="1" applyAlignment="1" applyProtection="1">
      <alignment horizontal="center"/>
    </xf>
    <xf numFmtId="2" fontId="2" fillId="0" borderId="0" xfId="3" applyNumberFormat="1" applyFont="1" applyAlignment="1" applyProtection="1">
      <alignment horizontal="center"/>
    </xf>
    <xf numFmtId="0" fontId="3" fillId="0" borderId="0" xfId="3" applyFont="1" applyAlignment="1" applyProtection="1">
      <alignment horizontal="left"/>
    </xf>
    <xf numFmtId="2" fontId="2" fillId="0" borderId="0" xfId="3" applyNumberFormat="1" applyFont="1" applyFill="1" applyAlignment="1" applyProtection="1">
      <alignment horizontal="center"/>
    </xf>
    <xf numFmtId="165" fontId="2" fillId="0" borderId="0" xfId="3" applyNumberFormat="1" applyFont="1" applyAlignment="1" applyProtection="1">
      <alignment horizontal="center"/>
    </xf>
    <xf numFmtId="165" fontId="3" fillId="0" borderId="0" xfId="3" applyNumberFormat="1" applyFont="1" applyAlignment="1" applyProtection="1">
      <alignment horizontal="center"/>
    </xf>
    <xf numFmtId="0" fontId="3" fillId="0" borderId="2" xfId="3" applyFont="1" applyBorder="1" applyProtection="1"/>
    <xf numFmtId="0" fontId="3" fillId="0" borderId="3" xfId="3" applyFont="1" applyBorder="1" applyAlignment="1" applyProtection="1">
      <alignment horizontal="right"/>
    </xf>
    <xf numFmtId="165" fontId="2" fillId="0" borderId="3" xfId="3" applyNumberFormat="1" applyFont="1" applyBorder="1" applyAlignment="1" applyProtection="1">
      <alignment horizontal="center"/>
    </xf>
    <xf numFmtId="0" fontId="3" fillId="0" borderId="4" xfId="3" applyFont="1" applyBorder="1" applyProtection="1"/>
    <xf numFmtId="3" fontId="2" fillId="0" borderId="0" xfId="3" applyNumberFormat="1" applyFont="1" applyAlignment="1" applyProtection="1">
      <alignment horizontal="center"/>
    </xf>
    <xf numFmtId="3" fontId="3" fillId="0" borderId="0" xfId="3" applyNumberFormat="1" applyFont="1" applyAlignment="1" applyProtection="1">
      <alignment horizontal="center"/>
    </xf>
    <xf numFmtId="4" fontId="2" fillId="0" borderId="0" xfId="3" applyNumberFormat="1" applyFont="1" applyAlignment="1" applyProtection="1">
      <alignment horizontal="center"/>
    </xf>
    <xf numFmtId="0" fontId="2" fillId="0" borderId="0" xfId="3" applyFont="1" applyAlignment="1" applyProtection="1">
      <alignment horizontal="right"/>
    </xf>
    <xf numFmtId="164" fontId="3" fillId="0" borderId="0" xfId="3" applyNumberFormat="1" applyFont="1" applyAlignment="1" applyProtection="1">
      <alignment horizontal="center"/>
    </xf>
    <xf numFmtId="10" fontId="3" fillId="0" borderId="0" xfId="2" applyNumberFormat="1" applyFont="1" applyFill="1" applyAlignment="1" applyProtection="1">
      <alignment horizontal="center"/>
    </xf>
    <xf numFmtId="2" fontId="3" fillId="3" borderId="0" xfId="3" applyNumberFormat="1" applyFont="1" applyFill="1" applyAlignment="1" applyProtection="1">
      <alignment horizontal="center"/>
      <protection locked="0"/>
    </xf>
    <xf numFmtId="0" fontId="3" fillId="0" borderId="0" xfId="3" applyFont="1" applyAlignment="1" applyProtection="1">
      <alignment horizontal="right" wrapText="1"/>
    </xf>
    <xf numFmtId="0" fontId="3" fillId="0" borderId="0" xfId="3" applyFont="1" applyFill="1" applyProtection="1"/>
    <xf numFmtId="167" fontId="3" fillId="0" borderId="0" xfId="3" applyNumberFormat="1" applyFont="1" applyAlignment="1" applyProtection="1">
      <alignment horizontal="center"/>
    </xf>
    <xf numFmtId="0" fontId="8" fillId="2" borderId="27" xfId="0" applyFont="1" applyFill="1" applyBorder="1"/>
    <xf numFmtId="0" fontId="8" fillId="0" borderId="27" xfId="0" applyFont="1" applyFill="1" applyBorder="1"/>
    <xf numFmtId="0" fontId="8" fillId="0" borderId="15" xfId="0" applyFont="1" applyFill="1" applyBorder="1"/>
    <xf numFmtId="0" fontId="8" fillId="2" borderId="8" xfId="0" applyFont="1" applyFill="1" applyBorder="1"/>
    <xf numFmtId="0" fontId="3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left"/>
    </xf>
    <xf numFmtId="2" fontId="8" fillId="0" borderId="10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Border="1"/>
    <xf numFmtId="167" fontId="2" fillId="0" borderId="0" xfId="0" applyNumberFormat="1" applyFont="1" applyAlignment="1">
      <alignment horizontal="center"/>
    </xf>
    <xf numFmtId="0" fontId="1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3" fillId="0" borderId="0" xfId="3" applyFont="1" applyBorder="1" applyProtection="1"/>
    <xf numFmtId="0" fontId="3" fillId="0" borderId="0" xfId="3" applyFont="1" applyBorder="1" applyAlignment="1" applyProtection="1">
      <alignment horizontal="right"/>
    </xf>
    <xf numFmtId="165" fontId="2" fillId="0" borderId="0" xfId="3" applyNumberFormat="1" applyFont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165" fontId="2" fillId="5" borderId="0" xfId="0" applyNumberFormat="1" applyFont="1" applyFill="1" applyAlignment="1">
      <alignment horizontal="center"/>
    </xf>
    <xf numFmtId="0" fontId="3" fillId="0" borderId="0" xfId="3" applyFont="1" applyFill="1" applyAlignment="1" applyProtection="1">
      <alignment horizontal="right"/>
    </xf>
    <xf numFmtId="0" fontId="3" fillId="0" borderId="0" xfId="3" applyFont="1" applyFill="1"/>
    <xf numFmtId="10" fontId="3" fillId="0" borderId="0" xfId="2" applyNumberFormat="1" applyFont="1" applyFill="1" applyAlignment="1" applyProtection="1">
      <alignment horizontal="center"/>
      <protection locked="0"/>
    </xf>
    <xf numFmtId="165" fontId="3" fillId="0" borderId="0" xfId="3" applyNumberFormat="1" applyFont="1" applyFill="1" applyAlignment="1" applyProtection="1">
      <alignment horizontal="center"/>
    </xf>
    <xf numFmtId="0" fontId="6" fillId="0" borderId="0" xfId="3" applyFont="1" applyFill="1" applyProtection="1"/>
    <xf numFmtId="0" fontId="1" fillId="0" borderId="0" xfId="3" applyFont="1" applyFill="1" applyProtection="1"/>
    <xf numFmtId="0" fontId="2" fillId="0" borderId="0" xfId="3" applyFont="1" applyFill="1" applyProtection="1"/>
    <xf numFmtId="165" fontId="2" fillId="0" borderId="0" xfId="3" applyNumberFormat="1" applyFont="1" applyFill="1" applyAlignment="1" applyProtection="1">
      <alignment horizontal="center"/>
    </xf>
    <xf numFmtId="168" fontId="3" fillId="0" borderId="0" xfId="3" applyNumberFormat="1" applyFont="1" applyFill="1" applyAlignment="1" applyProtection="1">
      <alignment horizontal="center"/>
    </xf>
    <xf numFmtId="2" fontId="3" fillId="0" borderId="0" xfId="3" applyNumberFormat="1" applyFont="1" applyAlignment="1" applyProtection="1">
      <alignment horizontal="center"/>
    </xf>
    <xf numFmtId="0" fontId="6" fillId="0" borderId="0" xfId="3" applyFont="1" applyAlignment="1" applyProtection="1">
      <alignment horizontal="center"/>
    </xf>
    <xf numFmtId="2" fontId="2" fillId="0" borderId="1" xfId="3" applyNumberFormat="1" applyFont="1" applyBorder="1" applyAlignment="1" applyProtection="1">
      <alignment horizontal="center"/>
    </xf>
    <xf numFmtId="2" fontId="2" fillId="0" borderId="0" xfId="3" applyNumberFormat="1" applyFont="1" applyBorder="1" applyAlignment="1" applyProtection="1">
      <alignment horizontal="center"/>
    </xf>
    <xf numFmtId="0" fontId="1" fillId="0" borderId="0" xfId="3" applyAlignment="1">
      <alignment horizontal="center"/>
    </xf>
    <xf numFmtId="1" fontId="2" fillId="0" borderId="0" xfId="3" applyNumberFormat="1" applyFont="1" applyFill="1" applyAlignment="1" applyProtection="1">
      <alignment horizontal="center"/>
    </xf>
    <xf numFmtId="3" fontId="2" fillId="0" borderId="0" xfId="1" applyNumberFormat="1" applyFont="1" applyFill="1" applyAlignment="1" applyProtection="1">
      <alignment horizontal="center"/>
    </xf>
    <xf numFmtId="1" fontId="3" fillId="0" borderId="0" xfId="3" applyNumberFormat="1" applyFont="1" applyFill="1" applyProtection="1"/>
    <xf numFmtId="0" fontId="3" fillId="0" borderId="2" xfId="3" applyFont="1" applyFill="1" applyBorder="1" applyProtection="1"/>
    <xf numFmtId="0" fontId="3" fillId="0" borderId="3" xfId="3" applyFont="1" applyFill="1" applyBorder="1" applyProtection="1"/>
    <xf numFmtId="0" fontId="3" fillId="0" borderId="3" xfId="3" applyFont="1" applyFill="1" applyBorder="1" applyAlignment="1" applyProtection="1">
      <alignment horizontal="right"/>
    </xf>
    <xf numFmtId="3" fontId="2" fillId="0" borderId="3" xfId="3" applyNumberFormat="1" applyFont="1" applyFill="1" applyBorder="1" applyAlignment="1" applyProtection="1">
      <alignment horizontal="center"/>
    </xf>
    <xf numFmtId="0" fontId="3" fillId="0" borderId="4" xfId="3" applyFont="1" applyFill="1" applyBorder="1" applyProtection="1"/>
    <xf numFmtId="2" fontId="3" fillId="0" borderId="0" xfId="0" applyNumberFormat="1" applyFont="1" applyAlignment="1" applyProtection="1">
      <alignment horizontal="center"/>
      <protection locked="0"/>
    </xf>
    <xf numFmtId="4" fontId="3" fillId="0" borderId="0" xfId="3" applyNumberFormat="1" applyFont="1" applyFill="1" applyAlignment="1" applyProtection="1">
      <alignment horizontal="center"/>
    </xf>
    <xf numFmtId="165" fontId="2" fillId="0" borderId="0" xfId="3" applyNumberFormat="1" applyFont="1" applyFill="1" applyAlignment="1">
      <alignment horizontal="center"/>
    </xf>
    <xf numFmtId="0" fontId="3" fillId="0" borderId="0" xfId="3" applyFont="1" applyAlignment="1" applyProtection="1"/>
    <xf numFmtId="0" fontId="3" fillId="3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Alignment="1">
      <alignment horizontal="center"/>
    </xf>
    <xf numFmtId="3" fontId="2" fillId="3" borderId="0" xfId="3" applyNumberFormat="1" applyFont="1" applyFill="1" applyAlignment="1">
      <alignment horizontal="center"/>
    </xf>
    <xf numFmtId="0" fontId="1" fillId="0" borderId="8" xfId="3" applyFont="1" applyBorder="1"/>
    <xf numFmtId="0" fontId="3" fillId="0" borderId="9" xfId="3" applyFont="1" applyBorder="1"/>
    <xf numFmtId="0" fontId="3" fillId="0" borderId="9" xfId="3" applyFont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1" fillId="0" borderId="6" xfId="3" applyFont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3" fontId="2" fillId="0" borderId="16" xfId="3" applyNumberFormat="1" applyFont="1" applyFill="1" applyBorder="1" applyAlignment="1">
      <alignment horizontal="center"/>
    </xf>
    <xf numFmtId="0" fontId="3" fillId="0" borderId="21" xfId="3" applyFont="1" applyBorder="1"/>
    <xf numFmtId="0" fontId="3" fillId="3" borderId="0" xfId="3" applyFont="1" applyFill="1" applyAlignment="1" applyProtection="1">
      <alignment horizontal="center"/>
    </xf>
    <xf numFmtId="2" fontId="3" fillId="3" borderId="0" xfId="3" applyNumberFormat="1" applyFont="1" applyFill="1" applyAlignment="1" applyProtection="1">
      <alignment horizontal="center"/>
    </xf>
    <xf numFmtId="1" fontId="3" fillId="0" borderId="0" xfId="3" applyNumberFormat="1" applyFont="1" applyBorder="1" applyAlignment="1" applyProtection="1">
      <alignment horizontal="center"/>
    </xf>
    <xf numFmtId="1" fontId="3" fillId="3" borderId="0" xfId="3" applyNumberFormat="1" applyFont="1" applyFill="1" applyBorder="1" applyAlignment="1" applyProtection="1">
      <alignment horizontal="center"/>
    </xf>
    <xf numFmtId="164" fontId="3" fillId="0" borderId="0" xfId="3" applyNumberFormat="1" applyFont="1" applyBorder="1" applyAlignment="1" applyProtection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left"/>
    </xf>
    <xf numFmtId="0" fontId="20" fillId="0" borderId="0" xfId="0" applyFont="1" applyBorder="1"/>
    <xf numFmtId="0" fontId="19" fillId="0" borderId="0" xfId="0" applyFont="1" applyBorder="1"/>
    <xf numFmtId="0" fontId="8" fillId="0" borderId="0" xfId="0" applyFont="1" applyAlignment="1">
      <alignment horizontal="left"/>
    </xf>
    <xf numFmtId="0" fontId="8" fillId="3" borderId="0" xfId="0" applyFont="1" applyFill="1"/>
    <xf numFmtId="2" fontId="8" fillId="0" borderId="0" xfId="0" applyNumberFormat="1" applyFont="1"/>
    <xf numFmtId="0" fontId="21" fillId="0" borderId="0" xfId="0" applyFont="1"/>
    <xf numFmtId="164" fontId="2" fillId="0" borderId="0" xfId="3" applyNumberFormat="1" applyFont="1" applyBorder="1" applyAlignment="1" applyProtection="1">
      <alignment horizontal="center"/>
    </xf>
    <xf numFmtId="4" fontId="3" fillId="0" borderId="0" xfId="3" applyNumberFormat="1" applyFont="1" applyAlignment="1" applyProtection="1">
      <alignment horizontal="center"/>
    </xf>
    <xf numFmtId="0" fontId="3" fillId="0" borderId="2" xfId="3" applyFont="1" applyBorder="1" applyAlignment="1" applyProtection="1">
      <alignment horizontal="right"/>
    </xf>
    <xf numFmtId="4" fontId="3" fillId="0" borderId="0" xfId="1" applyNumberFormat="1" applyFont="1" applyBorder="1" applyAlignment="1" applyProtection="1">
      <alignment horizontal="center"/>
    </xf>
    <xf numFmtId="167" fontId="2" fillId="0" borderId="0" xfId="3" applyNumberFormat="1" applyFont="1" applyBorder="1" applyAlignment="1" applyProtection="1">
      <alignment horizontal="center"/>
    </xf>
    <xf numFmtId="0" fontId="2" fillId="0" borderId="0" xfId="3" applyFont="1" applyAlignment="1" applyProtection="1">
      <alignment horizontal="center"/>
    </xf>
    <xf numFmtId="0" fontId="21" fillId="0" borderId="0" xfId="3" applyFont="1" applyProtection="1"/>
    <xf numFmtId="2" fontId="2" fillId="0" borderId="0" xfId="3" applyNumberFormat="1" applyFont="1" applyBorder="1" applyAlignment="1" applyProtection="1">
      <alignment horizontal="center" wrapText="1"/>
    </xf>
    <xf numFmtId="9" fontId="8" fillId="3" borderId="7" xfId="0" applyNumberFormat="1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>
      <alignment horizontal="left"/>
    </xf>
    <xf numFmtId="0" fontId="8" fillId="3" borderId="13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14" fontId="8" fillId="4" borderId="7" xfId="0" applyNumberFormat="1" applyFont="1" applyFill="1" applyBorder="1" applyAlignment="1" applyProtection="1">
      <alignment horizontal="left"/>
      <protection locked="0"/>
    </xf>
    <xf numFmtId="22" fontId="8" fillId="4" borderId="7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center"/>
    </xf>
    <xf numFmtId="0" fontId="8" fillId="4" borderId="7" xfId="0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>
      <alignment horizontal="left"/>
    </xf>
    <xf numFmtId="0" fontId="5" fillId="0" borderId="0" xfId="0" quotePrefix="1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6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 horizontal="left"/>
      <protection locked="0"/>
    </xf>
    <xf numFmtId="0" fontId="8" fillId="3" borderId="28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horizontal="left"/>
      <protection locked="0"/>
    </xf>
    <xf numFmtId="169" fontId="2" fillId="3" borderId="13" xfId="0" applyNumberFormat="1" applyFont="1" applyFill="1" applyBorder="1" applyAlignment="1">
      <alignment horizontal="center"/>
    </xf>
    <xf numFmtId="169" fontId="2" fillId="3" borderId="7" xfId="0" applyNumberFormat="1" applyFont="1" applyFill="1" applyBorder="1" applyAlignment="1">
      <alignment horizontal="center"/>
    </xf>
    <xf numFmtId="0" fontId="6" fillId="0" borderId="0" xfId="3" applyFont="1" applyAlignment="1" applyProtection="1">
      <alignment horizontal="left"/>
    </xf>
    <xf numFmtId="2" fontId="2" fillId="0" borderId="0" xfId="3" applyNumberFormat="1" applyFont="1" applyBorder="1" applyAlignment="1" applyProtection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2" builtinId="5"/>
    <cellStyle name="Percent 2" xfId="6" xr:uid="{00000000-0005-0000-0000-000006000000}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FFFF99"/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45</xdr:row>
      <xdr:rowOff>198040</xdr:rowOff>
    </xdr:from>
    <xdr:to>
      <xdr:col>9</xdr:col>
      <xdr:colOff>479028</xdr:colOff>
      <xdr:row>45</xdr:row>
      <xdr:rowOff>198040</xdr:rowOff>
    </xdr:to>
    <xdr:sp macro="" textlink="">
      <xdr:nvSpPr>
        <xdr:cNvPr id="1111" name="Lin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269875" y="9127728"/>
          <a:ext cx="6172200" cy="0"/>
        </a:xfrm>
        <a:prstGeom prst="line">
          <a:avLst/>
        </a:prstGeom>
        <a:ln>
          <a:solidFill>
            <a:schemeClr val="accent1"/>
          </a:solidFill>
          <a:headEnd type="diamond" w="med" len="med"/>
          <a:tailEnd type="diamond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0</xdr:col>
      <xdr:colOff>236432</xdr:colOff>
      <xdr:row>0</xdr:row>
      <xdr:rowOff>195052</xdr:rowOff>
    </xdr:from>
    <xdr:to>
      <xdr:col>9</xdr:col>
      <xdr:colOff>445585</xdr:colOff>
      <xdr:row>0</xdr:row>
      <xdr:rowOff>195052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580B0550-8635-46F3-8166-D08559DB5116}"/>
            </a:ext>
          </a:extLst>
        </xdr:cNvPr>
        <xdr:cNvSpPr>
          <a:spLocks noChangeShapeType="1"/>
        </xdr:cNvSpPr>
      </xdr:nvSpPr>
      <xdr:spPr bwMode="auto">
        <a:xfrm flipV="1">
          <a:off x="236432" y="195052"/>
          <a:ext cx="6172200" cy="0"/>
        </a:xfrm>
        <a:prstGeom prst="line">
          <a:avLst/>
        </a:prstGeom>
        <a:ln>
          <a:solidFill>
            <a:schemeClr val="accent1"/>
          </a:solidFill>
          <a:headEnd type="diamond" w="med" len="med"/>
          <a:tailEnd type="diamond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45"/>
  <sheetViews>
    <sheetView tabSelected="1" view="pageLayout" zoomScale="96" zoomScaleNormal="100" zoomScaleSheetLayoutView="100" zoomScalePageLayoutView="96" workbookViewId="0">
      <selection activeCell="D26" sqref="D26:G26"/>
    </sheetView>
  </sheetViews>
  <sheetFormatPr defaultColWidth="9.140625" defaultRowHeight="15.75" x14ac:dyDescent="0.25"/>
  <cols>
    <col min="1" max="1" width="19.7109375" style="5" customWidth="1"/>
    <col min="2" max="2" width="16.7109375" style="5" customWidth="1"/>
    <col min="3" max="3" width="2.7109375" style="5" customWidth="1"/>
    <col min="4" max="4" width="9.7109375" style="5" customWidth="1"/>
    <col min="5" max="5" width="2.85546875" style="5" customWidth="1"/>
    <col min="6" max="6" width="3.28515625" style="5" customWidth="1"/>
    <col min="7" max="7" width="15.7109375" style="5" customWidth="1"/>
    <col min="8" max="8" width="12" style="5" customWidth="1"/>
    <col min="9" max="9" width="2.7109375" style="5" bestFit="1" customWidth="1"/>
    <col min="10" max="10" width="9.140625" style="5"/>
    <col min="11" max="11" width="3.140625" style="5" bestFit="1" customWidth="1"/>
    <col min="12" max="16384" width="9.140625" style="5"/>
  </cols>
  <sheetData>
    <row r="3" spans="1:8" x14ac:dyDescent="0.25">
      <c r="A3" s="180" t="s">
        <v>152</v>
      </c>
      <c r="B3" s="202"/>
      <c r="C3" s="202"/>
      <c r="D3" s="202"/>
      <c r="E3" s="202"/>
      <c r="F3" s="202"/>
      <c r="G3" s="34"/>
    </row>
    <row r="4" spans="1:8" x14ac:dyDescent="0.25">
      <c r="A4" s="180" t="s">
        <v>153</v>
      </c>
      <c r="B4" s="207"/>
      <c r="C4" s="207"/>
      <c r="D4" s="207"/>
      <c r="E4" s="207"/>
      <c r="F4" s="207"/>
      <c r="G4" s="34"/>
    </row>
    <row r="5" spans="1:8" x14ac:dyDescent="0.25">
      <c r="A5" s="180" t="s">
        <v>1</v>
      </c>
      <c r="B5" s="203"/>
      <c r="C5" s="203"/>
      <c r="D5" s="203"/>
      <c r="E5" s="203"/>
      <c r="F5" s="203"/>
      <c r="G5" s="34"/>
    </row>
    <row r="6" spans="1:8" x14ac:dyDescent="0.25">
      <c r="A6" s="180" t="s">
        <v>2</v>
      </c>
      <c r="B6" s="204"/>
      <c r="C6" s="204"/>
      <c r="D6" s="204"/>
      <c r="E6" s="204"/>
      <c r="F6" s="204"/>
      <c r="G6" s="34"/>
    </row>
    <row r="7" spans="1:8" x14ac:dyDescent="0.25">
      <c r="A7" s="31"/>
      <c r="B7" s="181"/>
      <c r="C7" s="181"/>
      <c r="D7" s="181"/>
      <c r="E7" s="34"/>
      <c r="F7" s="34"/>
      <c r="G7" s="34"/>
    </row>
    <row r="8" spans="1:8" x14ac:dyDescent="0.25">
      <c r="A8" s="31" t="s">
        <v>29</v>
      </c>
      <c r="B8" s="199"/>
      <c r="C8" s="199"/>
      <c r="D8" s="199"/>
      <c r="E8" s="34"/>
      <c r="F8" s="34"/>
      <c r="G8" s="34"/>
    </row>
    <row r="9" spans="1:8" x14ac:dyDescent="0.25">
      <c r="A9" s="182" t="s">
        <v>151</v>
      </c>
      <c r="B9" s="197"/>
      <c r="C9" s="197"/>
      <c r="D9" s="197"/>
      <c r="E9" s="34"/>
      <c r="F9" s="34"/>
      <c r="G9" s="34"/>
    </row>
    <row r="10" spans="1:8" s="8" customFormat="1" x14ac:dyDescent="0.25">
      <c r="A10" s="32"/>
      <c r="B10" s="181"/>
      <c r="C10" s="181"/>
      <c r="D10" s="181"/>
      <c r="E10" s="181"/>
      <c r="F10" s="181"/>
      <c r="G10" s="181"/>
    </row>
    <row r="11" spans="1:8" x14ac:dyDescent="0.25">
      <c r="A11" s="33" t="s">
        <v>33</v>
      </c>
      <c r="B11" s="199"/>
      <c r="C11" s="199"/>
      <c r="D11" s="199"/>
      <c r="E11" s="34"/>
      <c r="F11" s="34"/>
      <c r="G11" s="34"/>
    </row>
    <row r="12" spans="1:8" x14ac:dyDescent="0.25">
      <c r="A12" s="31" t="s">
        <v>34</v>
      </c>
      <c r="B12" s="199"/>
      <c r="C12" s="199"/>
      <c r="D12" s="199"/>
      <c r="E12" s="34"/>
      <c r="F12" s="34"/>
      <c r="G12" s="34"/>
    </row>
    <row r="13" spans="1:8" x14ac:dyDescent="0.25">
      <c r="A13" s="182" t="s">
        <v>50</v>
      </c>
      <c r="B13" s="34"/>
      <c r="C13" s="34"/>
      <c r="D13" s="34"/>
      <c r="E13" s="34"/>
      <c r="F13" s="34"/>
      <c r="G13" s="34"/>
    </row>
    <row r="14" spans="1:8" x14ac:dyDescent="0.25">
      <c r="A14" s="183"/>
      <c r="B14" s="34"/>
      <c r="C14" s="34"/>
      <c r="D14" s="34"/>
      <c r="E14" s="34"/>
      <c r="F14" s="34"/>
      <c r="G14" s="34"/>
    </row>
    <row r="15" spans="1:8" x14ac:dyDescent="0.25">
      <c r="A15" s="31" t="s">
        <v>30</v>
      </c>
      <c r="B15" s="200"/>
      <c r="C15" s="200"/>
      <c r="D15" s="200"/>
      <c r="E15" s="200"/>
      <c r="F15" s="200"/>
      <c r="G15" s="200"/>
      <c r="H15" s="200"/>
    </row>
    <row r="16" spans="1:8" x14ac:dyDescent="0.25">
      <c r="A16" s="205" t="s">
        <v>154</v>
      </c>
      <c r="B16" s="200"/>
      <c r="C16" s="200"/>
      <c r="D16" s="200"/>
      <c r="E16" s="200"/>
      <c r="F16" s="200"/>
      <c r="G16" s="200"/>
      <c r="H16" s="200"/>
    </row>
    <row r="17" spans="1:11" x14ac:dyDescent="0.25">
      <c r="A17" s="205"/>
      <c r="B17" s="200"/>
      <c r="C17" s="200"/>
      <c r="D17" s="200"/>
      <c r="E17" s="200"/>
      <c r="F17" s="200"/>
      <c r="G17" s="200"/>
      <c r="H17" s="200"/>
    </row>
    <row r="18" spans="1:11" x14ac:dyDescent="0.25">
      <c r="A18" s="205"/>
      <c r="B18" s="200"/>
      <c r="C18" s="200"/>
      <c r="D18" s="200"/>
      <c r="E18" s="200"/>
      <c r="F18" s="200"/>
      <c r="G18" s="200"/>
      <c r="H18" s="200"/>
    </row>
    <row r="19" spans="1:11" x14ac:dyDescent="0.25">
      <c r="A19" s="31"/>
    </row>
    <row r="20" spans="1:11" x14ac:dyDescent="0.25">
      <c r="A20" s="31" t="s">
        <v>31</v>
      </c>
    </row>
    <row r="21" spans="1:11" x14ac:dyDescent="0.25">
      <c r="A21" s="31"/>
      <c r="B21" s="5" t="s">
        <v>17</v>
      </c>
      <c r="D21" s="208" t="s">
        <v>134</v>
      </c>
      <c r="E21" s="208"/>
      <c r="F21" s="208"/>
      <c r="G21" s="208"/>
    </row>
    <row r="22" spans="1:11" x14ac:dyDescent="0.25">
      <c r="A22" s="31"/>
      <c r="B22" s="5" t="s">
        <v>18</v>
      </c>
      <c r="D22" s="198" t="s">
        <v>49</v>
      </c>
      <c r="E22" s="198"/>
      <c r="F22" s="198"/>
      <c r="G22" s="198"/>
    </row>
    <row r="23" spans="1:11" x14ac:dyDescent="0.25">
      <c r="A23" s="31"/>
      <c r="B23" s="5" t="s">
        <v>35</v>
      </c>
      <c r="D23" s="197"/>
      <c r="E23" s="197"/>
      <c r="F23" s="197"/>
      <c r="G23" s="197"/>
    </row>
    <row r="24" spans="1:11" x14ac:dyDescent="0.25">
      <c r="A24" s="31"/>
      <c r="B24" s="5" t="s">
        <v>19</v>
      </c>
      <c r="D24" s="197"/>
      <c r="E24" s="197"/>
      <c r="F24" s="197"/>
      <c r="G24" s="197"/>
    </row>
    <row r="25" spans="1:11" x14ac:dyDescent="0.25">
      <c r="A25" s="31"/>
      <c r="B25" s="5" t="s">
        <v>20</v>
      </c>
      <c r="D25" s="197"/>
      <c r="E25" s="197"/>
      <c r="F25" s="197"/>
      <c r="G25" s="197"/>
    </row>
    <row r="26" spans="1:11" x14ac:dyDescent="0.25">
      <c r="A26" s="31"/>
      <c r="B26" s="5" t="s">
        <v>21</v>
      </c>
      <c r="D26" s="196">
        <v>0</v>
      </c>
      <c r="E26" s="197"/>
      <c r="F26" s="197"/>
      <c r="G26" s="197"/>
    </row>
    <row r="27" spans="1:11" x14ac:dyDescent="0.25">
      <c r="A27" s="31"/>
    </row>
    <row r="28" spans="1:11" ht="15.75" customHeight="1" x14ac:dyDescent="0.25">
      <c r="A28" s="31" t="s">
        <v>32</v>
      </c>
      <c r="B28" s="200" t="s">
        <v>150</v>
      </c>
      <c r="C28" s="200"/>
      <c r="D28" s="200"/>
      <c r="E28" s="200"/>
      <c r="F28" s="200"/>
      <c r="G28" s="200"/>
      <c r="H28" s="200"/>
    </row>
    <row r="29" spans="1:11" x14ac:dyDescent="0.25">
      <c r="A29" s="31"/>
      <c r="B29" s="200"/>
      <c r="C29" s="200"/>
      <c r="D29" s="200"/>
      <c r="E29" s="200"/>
      <c r="F29" s="200"/>
      <c r="G29" s="200"/>
      <c r="H29" s="200"/>
    </row>
    <row r="30" spans="1:11" x14ac:dyDescent="0.25">
      <c r="A30" s="31"/>
    </row>
    <row r="31" spans="1:11" x14ac:dyDescent="0.25">
      <c r="A31" s="33" t="s">
        <v>87</v>
      </c>
      <c r="D31" s="8"/>
    </row>
    <row r="32" spans="1:11" x14ac:dyDescent="0.25">
      <c r="A32" s="206" t="s">
        <v>155</v>
      </c>
      <c r="B32" s="206"/>
      <c r="C32" s="206"/>
      <c r="D32" s="206"/>
      <c r="E32" s="206"/>
      <c r="F32" s="100"/>
      <c r="G32" s="206" t="s">
        <v>156</v>
      </c>
      <c r="H32" s="206"/>
      <c r="I32" s="206"/>
      <c r="J32" s="206"/>
      <c r="K32" s="206"/>
    </row>
    <row r="33" spans="1:11" x14ac:dyDescent="0.25">
      <c r="A33" s="184" t="s">
        <v>22</v>
      </c>
      <c r="B33" s="185"/>
      <c r="C33" s="100" t="s">
        <v>27</v>
      </c>
      <c r="D33" s="186">
        <f>B33/43560</f>
        <v>0</v>
      </c>
      <c r="E33" s="100" t="s">
        <v>157</v>
      </c>
      <c r="F33" s="100"/>
      <c r="G33" s="184" t="s">
        <v>22</v>
      </c>
      <c r="H33" s="185"/>
      <c r="I33" s="100" t="s">
        <v>27</v>
      </c>
      <c r="J33" s="186">
        <f>H33/43560</f>
        <v>0</v>
      </c>
      <c r="K33" s="100" t="s">
        <v>157</v>
      </c>
    </row>
    <row r="34" spans="1:11" x14ac:dyDescent="0.25">
      <c r="A34" s="184" t="s">
        <v>23</v>
      </c>
      <c r="B34" s="185"/>
      <c r="C34" s="100" t="s">
        <v>27</v>
      </c>
      <c r="D34" s="186">
        <f>B34/43560</f>
        <v>0</v>
      </c>
      <c r="E34" s="100" t="s">
        <v>157</v>
      </c>
      <c r="F34" s="100"/>
      <c r="G34" s="184" t="s">
        <v>23</v>
      </c>
      <c r="H34" s="185"/>
      <c r="I34" s="100" t="s">
        <v>27</v>
      </c>
      <c r="J34" s="186">
        <f>H34/43560</f>
        <v>0</v>
      </c>
      <c r="K34" s="100" t="s">
        <v>157</v>
      </c>
    </row>
    <row r="35" spans="1:11" x14ac:dyDescent="0.25">
      <c r="A35" s="184" t="s">
        <v>24</v>
      </c>
      <c r="B35" s="185"/>
      <c r="C35" s="100" t="s">
        <v>27</v>
      </c>
      <c r="D35" s="186">
        <f>B35/43560</f>
        <v>0</v>
      </c>
      <c r="E35" s="100" t="s">
        <v>157</v>
      </c>
      <c r="F35" s="100"/>
      <c r="G35" s="184" t="s">
        <v>24</v>
      </c>
      <c r="H35" s="185"/>
      <c r="I35" s="100" t="s">
        <v>27</v>
      </c>
      <c r="J35" s="186">
        <f>H35/43560</f>
        <v>0</v>
      </c>
      <c r="K35" s="100" t="s">
        <v>157</v>
      </c>
    </row>
    <row r="36" spans="1:11" x14ac:dyDescent="0.25">
      <c r="A36" s="184" t="s">
        <v>25</v>
      </c>
      <c r="B36" s="185"/>
      <c r="C36" s="100" t="s">
        <v>27</v>
      </c>
      <c r="D36" s="186">
        <f>B36/43560</f>
        <v>0</v>
      </c>
      <c r="E36" s="100" t="s">
        <v>157</v>
      </c>
      <c r="F36" s="100"/>
      <c r="G36" s="184" t="s">
        <v>25</v>
      </c>
      <c r="H36" s="185"/>
      <c r="I36" s="100" t="s">
        <v>27</v>
      </c>
      <c r="J36" s="186">
        <f>H36/43560</f>
        <v>0</v>
      </c>
      <c r="K36" s="100" t="s">
        <v>157</v>
      </c>
    </row>
    <row r="37" spans="1:11" x14ac:dyDescent="0.25">
      <c r="A37" s="184" t="s">
        <v>26</v>
      </c>
      <c r="B37" s="185"/>
      <c r="C37" s="100" t="s">
        <v>27</v>
      </c>
      <c r="D37" s="186">
        <f>B37/43560</f>
        <v>0</v>
      </c>
      <c r="E37" s="100" t="s">
        <v>157</v>
      </c>
      <c r="F37" s="100"/>
      <c r="G37" s="184" t="s">
        <v>26</v>
      </c>
      <c r="H37" s="185"/>
      <c r="I37" s="100" t="s">
        <v>27</v>
      </c>
      <c r="J37" s="186">
        <f>H37/43560</f>
        <v>0</v>
      </c>
      <c r="K37" s="100" t="s">
        <v>157</v>
      </c>
    </row>
    <row r="38" spans="1:11" x14ac:dyDescent="0.25">
      <c r="A38" s="184"/>
      <c r="B38" s="185"/>
      <c r="C38" s="100"/>
      <c r="D38" s="186"/>
      <c r="E38" s="100"/>
      <c r="F38" s="100"/>
      <c r="G38" s="184"/>
      <c r="H38" s="185"/>
      <c r="I38" s="100"/>
      <c r="J38" s="186"/>
      <c r="K38" s="100"/>
    </row>
    <row r="39" spans="1:11" x14ac:dyDescent="0.25">
      <c r="A39" s="31" t="s">
        <v>86</v>
      </c>
    </row>
    <row r="40" spans="1:11" x14ac:dyDescent="0.25">
      <c r="A40" s="201" t="s">
        <v>158</v>
      </c>
      <c r="B40" s="201"/>
      <c r="C40" s="201"/>
      <c r="D40" s="201"/>
      <c r="E40" s="201"/>
      <c r="F40" s="201"/>
      <c r="G40" s="201"/>
      <c r="H40" s="201"/>
      <c r="I40" s="201"/>
    </row>
    <row r="41" spans="1:11" x14ac:dyDescent="0.25">
      <c r="A41" s="31"/>
      <c r="B41" s="200"/>
      <c r="C41" s="200"/>
      <c r="D41" s="200"/>
      <c r="E41" s="200"/>
      <c r="F41" s="200"/>
      <c r="G41" s="200"/>
      <c r="H41" s="200"/>
      <c r="I41" s="200"/>
      <c r="J41" s="200"/>
    </row>
    <row r="42" spans="1:11" x14ac:dyDescent="0.25">
      <c r="A42" s="31"/>
      <c r="B42" s="200"/>
      <c r="C42" s="200"/>
      <c r="D42" s="200"/>
      <c r="E42" s="200"/>
      <c r="F42" s="200"/>
      <c r="G42" s="200"/>
      <c r="H42" s="200"/>
      <c r="I42" s="200"/>
      <c r="J42" s="200"/>
    </row>
    <row r="43" spans="1:11" x14ac:dyDescent="0.25">
      <c r="A43" s="31"/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1" x14ac:dyDescent="0.25">
      <c r="B44" s="200"/>
      <c r="C44" s="200"/>
      <c r="D44" s="200"/>
      <c r="E44" s="200"/>
      <c r="F44" s="200"/>
      <c r="G44" s="200"/>
      <c r="H44" s="200"/>
      <c r="I44" s="200"/>
      <c r="J44" s="200"/>
    </row>
    <row r="45" spans="1:11" x14ac:dyDescent="0.25">
      <c r="B45" s="200"/>
      <c r="C45" s="200"/>
      <c r="D45" s="200"/>
      <c r="E45" s="200"/>
      <c r="F45" s="200"/>
      <c r="G45" s="200"/>
      <c r="H45" s="200"/>
      <c r="I45" s="200"/>
      <c r="J45" s="200"/>
    </row>
  </sheetData>
  <sheetProtection selectLockedCells="1"/>
  <mergeCells count="21">
    <mergeCell ref="B41:J45"/>
    <mergeCell ref="A40:I40"/>
    <mergeCell ref="B3:F3"/>
    <mergeCell ref="B5:F5"/>
    <mergeCell ref="B6:F6"/>
    <mergeCell ref="B9:D9"/>
    <mergeCell ref="B11:D11"/>
    <mergeCell ref="A16:A18"/>
    <mergeCell ref="A32:E32"/>
    <mergeCell ref="G32:K32"/>
    <mergeCell ref="B15:H18"/>
    <mergeCell ref="B4:F4"/>
    <mergeCell ref="B28:H29"/>
    <mergeCell ref="D21:G21"/>
    <mergeCell ref="B8:D8"/>
    <mergeCell ref="D25:G25"/>
    <mergeCell ref="D26:G26"/>
    <mergeCell ref="D22:G22"/>
    <mergeCell ref="D23:G23"/>
    <mergeCell ref="D24:G24"/>
    <mergeCell ref="B12:D12"/>
  </mergeCells>
  <phoneticPr fontId="0" type="noConversion"/>
  <pageMargins left="0.7" right="0.7" top="0.75" bottom="0.75" header="0.3" footer="0.3"/>
  <pageSetup scale="94" orientation="portrait" r:id="rId1"/>
  <headerFooter alignWithMargins="0">
    <oddHeader>&amp;L&amp;"Times New Roman,Regular"&amp;12Thomas Township
Stormwater Management Plan&amp;R&amp;"Times New Roman,Bold Italic"&amp;12&amp;A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view="pageLayout" zoomScale="90" zoomScaleNormal="100" zoomScaleSheetLayoutView="100" zoomScalePageLayoutView="90" workbookViewId="0">
      <selection activeCell="B44" sqref="B44"/>
    </sheetView>
  </sheetViews>
  <sheetFormatPr defaultRowHeight="12.75" x14ac:dyDescent="0.2"/>
  <cols>
    <col min="1" max="1" width="18.28515625" style="1" customWidth="1"/>
    <col min="2" max="2" width="20" style="1" customWidth="1"/>
    <col min="3" max="3" width="24.7109375" style="1" customWidth="1"/>
    <col min="4" max="4" width="12.140625" style="1" customWidth="1"/>
    <col min="5" max="5" width="14" style="1" customWidth="1"/>
    <col min="6" max="6" width="16.85546875" style="1" customWidth="1"/>
    <col min="7" max="7" width="10.7109375" style="1" customWidth="1"/>
    <col min="8" max="8" width="9.140625" style="1" customWidth="1"/>
    <col min="9" max="9" width="0.85546875" style="1" customWidth="1"/>
    <col min="10" max="11" width="9.140625" style="1"/>
    <col min="12" max="12" width="17.28515625" style="1" customWidth="1"/>
    <col min="13" max="13" width="9.140625" style="1"/>
    <col min="14" max="14" width="5" style="1" bestFit="1" customWidth="1"/>
    <col min="15" max="18" width="9.140625" style="1"/>
  </cols>
  <sheetData>
    <row r="1" spans="1:18" ht="16.5" thickBot="1" x14ac:dyDescent="0.3">
      <c r="A1" s="210" t="s">
        <v>51</v>
      </c>
      <c r="B1" s="211"/>
      <c r="C1" s="211"/>
      <c r="D1" s="211"/>
      <c r="E1" s="211"/>
      <c r="F1" s="212"/>
    </row>
    <row r="2" spans="1:18" ht="15.75" x14ac:dyDescent="0.25">
      <c r="A2" s="41" t="s">
        <v>36</v>
      </c>
      <c r="B2" s="213"/>
      <c r="C2" s="213"/>
      <c r="D2" s="37"/>
      <c r="E2" s="43" t="s">
        <v>37</v>
      </c>
      <c r="F2" s="4">
        <f ca="1">NOW()</f>
        <v>44034.574833796294</v>
      </c>
      <c r="L2" s="17"/>
      <c r="M2" s="20"/>
    </row>
    <row r="3" spans="1:18" ht="16.5" thickBot="1" x14ac:dyDescent="0.3">
      <c r="A3" s="42" t="s">
        <v>38</v>
      </c>
      <c r="B3" s="214"/>
      <c r="C3" s="214"/>
      <c r="D3" s="38"/>
      <c r="E3" s="39"/>
      <c r="F3" s="40"/>
      <c r="N3" s="18"/>
      <c r="Q3" s="18"/>
    </row>
    <row r="4" spans="1:18" ht="16.5" thickBot="1" x14ac:dyDescent="0.3">
      <c r="A4" s="92"/>
      <c r="B4" s="35"/>
      <c r="C4" s="35"/>
      <c r="D4" s="35"/>
      <c r="E4" s="35"/>
      <c r="F4" s="36"/>
      <c r="N4" s="18"/>
      <c r="P4" s="2"/>
    </row>
    <row r="5" spans="1:18" ht="16.5" thickBot="1" x14ac:dyDescent="0.3">
      <c r="A5" s="215"/>
      <c r="B5" s="216"/>
      <c r="C5" s="217"/>
      <c r="D5" s="27" t="s">
        <v>39</v>
      </c>
      <c r="E5" s="26" t="s">
        <v>40</v>
      </c>
      <c r="F5" s="28" t="s">
        <v>45</v>
      </c>
      <c r="H5" s="20"/>
      <c r="J5" s="20"/>
      <c r="P5" s="2"/>
      <c r="Q5" s="19"/>
      <c r="R5" s="2"/>
    </row>
    <row r="6" spans="1:18" ht="16.5" thickBot="1" x14ac:dyDescent="0.3">
      <c r="A6" s="218" t="s">
        <v>81</v>
      </c>
      <c r="B6" s="219"/>
      <c r="C6" s="220"/>
      <c r="D6" s="98">
        <f>IF(A6="",0,IF(A6="Impervious Area (Pavements/Roofs/Buildings)",0.9,IF(A6="Water",1,IF(A6="Park/Playground/Cemetery Area",0.3,IF(A6="Lawn Area",0.17,IF(A6="Woodland Area",0.45,IF(A6="Pasture Area",0.4,IF(A6="Cultivated Area",0.6))))))))</f>
        <v>0.9</v>
      </c>
      <c r="E6" s="60">
        <v>0</v>
      </c>
      <c r="F6" s="29">
        <f>D6*E6</f>
        <v>0</v>
      </c>
      <c r="I6" s="1">
        <f>IF(D6=0.9,E6,0)</f>
        <v>0</v>
      </c>
      <c r="L6" s="17"/>
      <c r="M6" s="20"/>
    </row>
    <row r="7" spans="1:18" ht="16.5" thickBot="1" x14ac:dyDescent="0.3">
      <c r="A7" s="218" t="s">
        <v>43</v>
      </c>
      <c r="B7" s="219"/>
      <c r="C7" s="220"/>
      <c r="D7" s="98">
        <f t="shared" ref="D7:D12" si="0">IF(A7="",0,IF(A7="Impervious Area (Pavements/Roofs/Buildings)",0.9,IF(A7="Water",1,IF(A7="Park/Playground/Cemetery Area",0.3,IF(A7="Lawn Area",0.17,IF(A7="Woodland Area",0.45,IF(A7="Pasture Area",0.4,IF(A7="Cultivated Area",0.6))))))))</f>
        <v>1</v>
      </c>
      <c r="E7" s="61">
        <v>0</v>
      </c>
      <c r="F7" s="21">
        <f t="shared" ref="F7:F8" si="1">D7*E7</f>
        <v>0</v>
      </c>
      <c r="I7" s="1">
        <f t="shared" ref="I7:I12" si="2">IF(D7=0.9,E7,0)</f>
        <v>0</v>
      </c>
      <c r="L7" s="17"/>
      <c r="M7" s="20"/>
    </row>
    <row r="8" spans="1:18" ht="16.5" thickBot="1" x14ac:dyDescent="0.3">
      <c r="A8" s="218" t="s">
        <v>82</v>
      </c>
      <c r="B8" s="219"/>
      <c r="C8" s="220"/>
      <c r="D8" s="98">
        <f t="shared" si="0"/>
        <v>0.3</v>
      </c>
      <c r="E8" s="61">
        <v>0</v>
      </c>
      <c r="F8" s="21">
        <f t="shared" si="1"/>
        <v>0</v>
      </c>
      <c r="I8" s="1">
        <f t="shared" si="2"/>
        <v>0</v>
      </c>
      <c r="L8" s="17"/>
      <c r="M8" s="20"/>
    </row>
    <row r="9" spans="1:18" ht="16.5" thickBot="1" x14ac:dyDescent="0.3">
      <c r="A9" s="218" t="s">
        <v>42</v>
      </c>
      <c r="B9" s="219"/>
      <c r="C9" s="220"/>
      <c r="D9" s="98">
        <f t="shared" si="0"/>
        <v>0.17</v>
      </c>
      <c r="E9" s="61">
        <v>0</v>
      </c>
      <c r="F9" s="22">
        <f t="shared" ref="F9:F12" si="3">D9*E9</f>
        <v>0</v>
      </c>
      <c r="I9" s="1">
        <f t="shared" si="2"/>
        <v>0</v>
      </c>
      <c r="P9" s="2"/>
    </row>
    <row r="10" spans="1:18" ht="16.5" thickBot="1" x14ac:dyDescent="0.3">
      <c r="A10" s="218" t="s">
        <v>83</v>
      </c>
      <c r="B10" s="219"/>
      <c r="C10" s="220"/>
      <c r="D10" s="98">
        <f t="shared" si="0"/>
        <v>0.45</v>
      </c>
      <c r="E10" s="62">
        <v>0</v>
      </c>
      <c r="F10" s="22">
        <f t="shared" si="3"/>
        <v>0</v>
      </c>
      <c r="I10" s="1">
        <f t="shared" si="2"/>
        <v>0</v>
      </c>
      <c r="P10" s="2"/>
      <c r="Q10" s="19"/>
      <c r="R10" s="2"/>
    </row>
    <row r="11" spans="1:18" ht="16.5" thickBot="1" x14ac:dyDescent="0.3">
      <c r="A11" s="218" t="s">
        <v>84</v>
      </c>
      <c r="B11" s="219"/>
      <c r="C11" s="220"/>
      <c r="D11" s="98">
        <f t="shared" si="0"/>
        <v>0.4</v>
      </c>
      <c r="E11" s="61">
        <v>0</v>
      </c>
      <c r="F11" s="22">
        <f t="shared" si="3"/>
        <v>0</v>
      </c>
      <c r="I11" s="1">
        <f t="shared" si="2"/>
        <v>0</v>
      </c>
      <c r="L11" s="209"/>
      <c r="M11" s="209"/>
    </row>
    <row r="12" spans="1:18" ht="16.5" thickBot="1" x14ac:dyDescent="0.3">
      <c r="A12" s="218" t="s">
        <v>85</v>
      </c>
      <c r="B12" s="219"/>
      <c r="C12" s="220"/>
      <c r="D12" s="99">
        <f t="shared" si="0"/>
        <v>0.6</v>
      </c>
      <c r="E12" s="63">
        <v>0</v>
      </c>
      <c r="F12" s="30">
        <f t="shared" si="3"/>
        <v>0</v>
      </c>
      <c r="I12" s="1">
        <f t="shared" si="2"/>
        <v>0</v>
      </c>
    </row>
    <row r="13" spans="1:18" ht="16.5" thickBot="1" x14ac:dyDescent="0.3">
      <c r="A13" s="93"/>
      <c r="B13" s="8"/>
      <c r="C13" s="8"/>
      <c r="D13" s="101" t="s">
        <v>41</v>
      </c>
      <c r="E13" s="23">
        <f>SUM(E6:E12)</f>
        <v>0</v>
      </c>
      <c r="F13" s="24">
        <f>SUM(F6:F12)</f>
        <v>0</v>
      </c>
      <c r="I13" s="1">
        <f>SUM(I6:I12)</f>
        <v>0</v>
      </c>
      <c r="N13" s="18"/>
      <c r="P13" s="2"/>
      <c r="Q13" s="19"/>
      <c r="R13" s="2"/>
    </row>
    <row r="14" spans="1:18" ht="16.5" thickBot="1" x14ac:dyDescent="0.3">
      <c r="A14" s="93"/>
      <c r="B14" s="8"/>
      <c r="C14" s="8"/>
      <c r="D14" s="11"/>
      <c r="E14" s="5"/>
      <c r="F14" s="12"/>
    </row>
    <row r="15" spans="1:18" ht="19.5" thickBot="1" x14ac:dyDescent="0.4">
      <c r="A15" s="93"/>
      <c r="B15" s="8"/>
      <c r="C15" s="9" t="s">
        <v>88</v>
      </c>
      <c r="D15" s="25" t="e">
        <f>F13/E13</f>
        <v>#DIV/0!</v>
      </c>
      <c r="E15" s="10"/>
      <c r="F15" s="12"/>
    </row>
    <row r="16" spans="1:18" ht="15.75" x14ac:dyDescent="0.25">
      <c r="A16" s="93"/>
      <c r="B16" s="8"/>
      <c r="C16" s="8"/>
      <c r="D16" s="10"/>
      <c r="E16" s="10"/>
      <c r="F16" s="12"/>
    </row>
    <row r="17" spans="1:18" ht="15.75" x14ac:dyDescent="0.25">
      <c r="A17" s="93"/>
      <c r="B17" s="8"/>
      <c r="C17" s="8"/>
      <c r="D17" s="13"/>
      <c r="E17" s="13"/>
      <c r="F17" s="12"/>
    </row>
    <row r="18" spans="1:18" ht="16.5" thickBot="1" x14ac:dyDescent="0.3">
      <c r="A18" s="94"/>
      <c r="B18" s="14"/>
      <c r="C18" s="14"/>
      <c r="D18" s="15"/>
      <c r="E18" s="15"/>
      <c r="F18" s="16"/>
    </row>
    <row r="19" spans="1:18" ht="16.5" thickBot="1" x14ac:dyDescent="0.3">
      <c r="A19" s="100"/>
      <c r="B19" s="100"/>
      <c r="C19" s="100"/>
      <c r="D19" s="100"/>
      <c r="E19" s="100"/>
      <c r="F19" s="100"/>
    </row>
    <row r="20" spans="1:18" ht="16.5" thickBot="1" x14ac:dyDescent="0.3">
      <c r="A20" s="210" t="s">
        <v>52</v>
      </c>
      <c r="B20" s="211"/>
      <c r="C20" s="211"/>
      <c r="D20" s="211"/>
      <c r="E20" s="211"/>
      <c r="F20" s="212"/>
    </row>
    <row r="21" spans="1:18" ht="15.75" x14ac:dyDescent="0.25">
      <c r="A21" s="41" t="s">
        <v>36</v>
      </c>
      <c r="B21" s="213"/>
      <c r="C21" s="213"/>
      <c r="D21" s="37"/>
      <c r="E21" s="43" t="s">
        <v>37</v>
      </c>
      <c r="F21" s="4">
        <f ca="1">NOW()</f>
        <v>44034.574833796294</v>
      </c>
      <c r="L21" s="17"/>
      <c r="M21" s="20"/>
    </row>
    <row r="22" spans="1:18" ht="16.5" thickBot="1" x14ac:dyDescent="0.3">
      <c r="A22" s="42" t="s">
        <v>38</v>
      </c>
      <c r="B22" s="214"/>
      <c r="C22" s="214"/>
      <c r="D22" s="38"/>
      <c r="E22" s="39"/>
      <c r="F22" s="40"/>
      <c r="N22" s="18"/>
      <c r="Q22" s="18"/>
    </row>
    <row r="23" spans="1:18" ht="16.5" thickBot="1" x14ac:dyDescent="0.3">
      <c r="A23" s="95"/>
      <c r="B23" s="6"/>
      <c r="C23" s="6"/>
      <c r="D23" s="6"/>
      <c r="E23" s="6"/>
      <c r="F23" s="7"/>
      <c r="N23" s="18"/>
      <c r="P23" s="2"/>
    </row>
    <row r="24" spans="1:18" ht="16.5" thickBot="1" x14ac:dyDescent="0.3">
      <c r="A24" s="215"/>
      <c r="B24" s="216"/>
      <c r="C24" s="217"/>
      <c r="D24" s="27" t="s">
        <v>39</v>
      </c>
      <c r="E24" s="26" t="s">
        <v>40</v>
      </c>
      <c r="F24" s="28" t="s">
        <v>45</v>
      </c>
      <c r="H24" s="20"/>
      <c r="J24" s="20"/>
      <c r="P24" s="2"/>
      <c r="Q24" s="19"/>
      <c r="R24" s="2"/>
    </row>
    <row r="25" spans="1:18" ht="16.5" thickBot="1" x14ac:dyDescent="0.3">
      <c r="A25" s="221" t="s">
        <v>81</v>
      </c>
      <c r="B25" s="222"/>
      <c r="C25" s="223"/>
      <c r="D25" s="98">
        <f>IF(A25="",0,IF(A25="Impervious Area (Pavements/Roofs/Buildings)",0.9,IF(A25="Water",1,IF(A25="Park/Playground/Cemetery Area",0.3,IF(A25="Lawn Area",0.17,IF(A25="Woodland Area",0.45,IF(A25="Pasture Area",0.4,IF(A25="Cultivated Area",0.6))))))))</f>
        <v>0.9</v>
      </c>
      <c r="E25" s="60">
        <v>0</v>
      </c>
      <c r="F25" s="29">
        <f>D25*E25</f>
        <v>0</v>
      </c>
      <c r="I25" s="1">
        <f>IF(D25=0.9,E25,0)</f>
        <v>0</v>
      </c>
      <c r="L25" s="17"/>
      <c r="M25" s="20"/>
    </row>
    <row r="26" spans="1:18" ht="16.5" thickBot="1" x14ac:dyDescent="0.3">
      <c r="A26" s="221" t="s">
        <v>42</v>
      </c>
      <c r="B26" s="222"/>
      <c r="C26" s="223"/>
      <c r="D26" s="98">
        <f t="shared" ref="D26:D31" si="4">IF(A26="",0,IF(A26="Impervious Area (Pavements/Roofs/Buildings)",0.9,IF(A26="Water",1,IF(A26="Park/Playground/Cemetery Area",0.3,IF(A26="Lawn Area",0.17,IF(A26="Woodland Area",0.45,IF(A26="Pasture Area",0.4,IF(A26="Cultivated Area",0.6))))))))</f>
        <v>0.17</v>
      </c>
      <c r="E26" s="61">
        <v>0</v>
      </c>
      <c r="F26" s="21">
        <f t="shared" ref="F26:F31" si="5">D26*E26</f>
        <v>0</v>
      </c>
      <c r="I26" s="1">
        <f t="shared" ref="I26:I31" si="6">IF(D26=0.9,E26,0)</f>
        <v>0</v>
      </c>
      <c r="L26" s="17"/>
      <c r="M26" s="20"/>
    </row>
    <row r="27" spans="1:18" ht="16.5" thickBot="1" x14ac:dyDescent="0.3">
      <c r="A27" s="221" t="s">
        <v>82</v>
      </c>
      <c r="B27" s="222"/>
      <c r="C27" s="223"/>
      <c r="D27" s="98">
        <f t="shared" si="4"/>
        <v>0.3</v>
      </c>
      <c r="E27" s="61">
        <v>0</v>
      </c>
      <c r="F27" s="21">
        <f t="shared" si="5"/>
        <v>0</v>
      </c>
      <c r="I27" s="1">
        <f t="shared" si="6"/>
        <v>0</v>
      </c>
      <c r="L27" s="17"/>
      <c r="M27" s="20"/>
    </row>
    <row r="28" spans="1:18" ht="16.5" thickBot="1" x14ac:dyDescent="0.3">
      <c r="A28" s="221" t="s">
        <v>42</v>
      </c>
      <c r="B28" s="222"/>
      <c r="C28" s="223"/>
      <c r="D28" s="98">
        <f t="shared" si="4"/>
        <v>0.17</v>
      </c>
      <c r="E28" s="61">
        <v>0</v>
      </c>
      <c r="F28" s="22">
        <f t="shared" si="5"/>
        <v>0</v>
      </c>
      <c r="I28" s="1">
        <f t="shared" si="6"/>
        <v>0</v>
      </c>
      <c r="P28" s="2"/>
    </row>
    <row r="29" spans="1:18" ht="16.5" thickBot="1" x14ac:dyDescent="0.3">
      <c r="A29" s="221" t="s">
        <v>83</v>
      </c>
      <c r="B29" s="222"/>
      <c r="C29" s="223"/>
      <c r="D29" s="98">
        <f t="shared" si="4"/>
        <v>0.45</v>
      </c>
      <c r="E29" s="62">
        <v>0</v>
      </c>
      <c r="F29" s="22">
        <f t="shared" si="5"/>
        <v>0</v>
      </c>
      <c r="I29" s="1">
        <f t="shared" si="6"/>
        <v>0</v>
      </c>
      <c r="P29" s="2"/>
      <c r="Q29" s="19"/>
      <c r="R29" s="2"/>
    </row>
    <row r="30" spans="1:18" ht="16.5" thickBot="1" x14ac:dyDescent="0.3">
      <c r="A30" s="221" t="s">
        <v>84</v>
      </c>
      <c r="B30" s="222"/>
      <c r="C30" s="223"/>
      <c r="D30" s="98">
        <f t="shared" si="4"/>
        <v>0.4</v>
      </c>
      <c r="E30" s="61">
        <v>0</v>
      </c>
      <c r="F30" s="22">
        <f t="shared" si="5"/>
        <v>0</v>
      </c>
      <c r="I30" s="1">
        <f t="shared" si="6"/>
        <v>0</v>
      </c>
      <c r="L30" s="17"/>
      <c r="M30" s="20"/>
    </row>
    <row r="31" spans="1:18" ht="16.5" thickBot="1" x14ac:dyDescent="0.3">
      <c r="A31" s="218" t="s">
        <v>85</v>
      </c>
      <c r="B31" s="219"/>
      <c r="C31" s="220"/>
      <c r="D31" s="99">
        <f t="shared" si="4"/>
        <v>0.6</v>
      </c>
      <c r="E31" s="63">
        <v>0</v>
      </c>
      <c r="F31" s="30">
        <f t="shared" si="5"/>
        <v>0</v>
      </c>
      <c r="I31" s="1">
        <f t="shared" si="6"/>
        <v>0</v>
      </c>
    </row>
    <row r="32" spans="1:18" ht="16.5" thickBot="1" x14ac:dyDescent="0.3">
      <c r="A32" s="93"/>
      <c r="B32" s="8"/>
      <c r="C32" s="8"/>
      <c r="D32" s="101" t="s">
        <v>41</v>
      </c>
      <c r="E32" s="23">
        <f>SUM(E25:E31)</f>
        <v>0</v>
      </c>
      <c r="F32" s="24">
        <f>SUM(F25:F31)</f>
        <v>0</v>
      </c>
      <c r="I32" s="1">
        <f>SUM(I25:I31)</f>
        <v>0</v>
      </c>
      <c r="N32" s="18"/>
      <c r="P32" s="2"/>
      <c r="Q32" s="19"/>
      <c r="R32" s="2"/>
    </row>
    <row r="33" spans="1:6" ht="16.5" thickBot="1" x14ac:dyDescent="0.3">
      <c r="A33" s="93"/>
      <c r="B33" s="8"/>
      <c r="C33" s="8"/>
      <c r="D33" s="11"/>
      <c r="E33" s="5"/>
      <c r="F33" s="12"/>
    </row>
    <row r="34" spans="1:6" ht="19.5" thickBot="1" x14ac:dyDescent="0.4">
      <c r="A34" s="93"/>
      <c r="B34" s="8"/>
      <c r="C34" s="9" t="s">
        <v>89</v>
      </c>
      <c r="D34" s="25" t="e">
        <f>F32/E32</f>
        <v>#DIV/0!</v>
      </c>
      <c r="E34" s="10"/>
      <c r="F34" s="12"/>
    </row>
    <row r="35" spans="1:6" ht="15.75" x14ac:dyDescent="0.25">
      <c r="A35" s="93"/>
      <c r="B35" s="8"/>
      <c r="C35" s="8"/>
      <c r="D35" s="10"/>
      <c r="E35" s="10"/>
      <c r="F35" s="12"/>
    </row>
    <row r="36" spans="1:6" ht="15.75" x14ac:dyDescent="0.25">
      <c r="A36" s="93"/>
      <c r="B36" s="8"/>
      <c r="C36" s="8"/>
      <c r="D36" s="13"/>
      <c r="E36" s="13"/>
      <c r="F36" s="12"/>
    </row>
    <row r="37" spans="1:6" ht="16.5" thickBot="1" x14ac:dyDescent="0.3">
      <c r="A37" s="94"/>
      <c r="B37" s="14"/>
      <c r="C37" s="14"/>
      <c r="D37" s="15"/>
      <c r="E37" s="15"/>
      <c r="F37" s="16"/>
    </row>
  </sheetData>
  <sheetProtection selectLockedCells="1"/>
  <dataConsolidate/>
  <mergeCells count="23">
    <mergeCell ref="B22:C22"/>
    <mergeCell ref="A20:F20"/>
    <mergeCell ref="A24:C24"/>
    <mergeCell ref="A30:C30"/>
    <mergeCell ref="A31:C31"/>
    <mergeCell ref="A25:C25"/>
    <mergeCell ref="A26:C26"/>
    <mergeCell ref="A27:C27"/>
    <mergeCell ref="A28:C28"/>
    <mergeCell ref="A29:C29"/>
    <mergeCell ref="L11:M11"/>
    <mergeCell ref="A1:F1"/>
    <mergeCell ref="B2:C2"/>
    <mergeCell ref="B3:C3"/>
    <mergeCell ref="B21:C21"/>
    <mergeCell ref="A5:C5"/>
    <mergeCell ref="A6:C6"/>
    <mergeCell ref="A12:C12"/>
    <mergeCell ref="A7:C7"/>
    <mergeCell ref="A8:C8"/>
    <mergeCell ref="A9:C9"/>
    <mergeCell ref="A10:C10"/>
    <mergeCell ref="A11:C11"/>
  </mergeCells>
  <dataValidations count="2">
    <dataValidation type="list" allowBlank="1" showInputMessage="1" showErrorMessage="1" sqref="L11:M11" xr:uid="{00000000-0002-0000-0300-000001000000}">
      <formula1>" ,Impervious Area (Pavements/Roofs/Buildings),Water,Park/Playground/Cemetery Area,Lawn Area,Woodland Area,Pasture Area,Cultivated Area"</formula1>
    </dataValidation>
    <dataValidation type="list" allowBlank="1" showInputMessage="1" showErrorMessage="1" sqref="A6:C12 A25:C31" xr:uid="{00000000-0002-0000-0300-000002000000}">
      <formula1>"Impervious Area (Pavements/Roofs/Buildings),Water,Park/Playground/Cemetery Area,Lawn Area,Woodland Area,Pasture Area,Cultivated Area"</formula1>
    </dataValidation>
  </dataValidations>
  <pageMargins left="0.7" right="0.7" top="0.75" bottom="0.75" header="0.3" footer="0.3"/>
  <pageSetup scale="80" orientation="portrait" r:id="rId1"/>
  <headerFooter>
    <oddHeader xml:space="preserve">&amp;L&amp;"Times New Roman,Regular"&amp;12Thomas Township
Stormwater Management Plan&amp;R&amp;"Times New Roman,Bold Italic"&amp;12Runoff Coefficient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25"/>
  <sheetViews>
    <sheetView view="pageLayout" zoomScale="90" zoomScaleNormal="100" zoomScaleSheetLayoutView="100" zoomScalePageLayoutView="90" workbookViewId="0">
      <selection activeCell="F16" sqref="F16"/>
    </sheetView>
  </sheetViews>
  <sheetFormatPr defaultColWidth="9.140625" defaultRowHeight="12.75" x14ac:dyDescent="0.2"/>
  <cols>
    <col min="1" max="1" width="19.42578125" style="46" customWidth="1"/>
    <col min="2" max="2" width="11.140625" style="46" customWidth="1"/>
    <col min="3" max="3" width="18.5703125" style="46" customWidth="1"/>
    <col min="4" max="4" width="28.7109375" style="50" customWidth="1"/>
    <col min="5" max="5" width="12.7109375" style="46" customWidth="1"/>
    <col min="6" max="6" width="14.28515625" style="46" customWidth="1"/>
    <col min="7" max="7" width="12" style="46" customWidth="1"/>
    <col min="8" max="16384" width="9.140625" style="46"/>
  </cols>
  <sheetData>
    <row r="2" spans="1:6" x14ac:dyDescent="0.2">
      <c r="A2" s="102" t="s">
        <v>0</v>
      </c>
      <c r="B2" s="224"/>
      <c r="C2" s="224"/>
    </row>
    <row r="3" spans="1:6" x14ac:dyDescent="0.2">
      <c r="A3" s="102" t="s">
        <v>1</v>
      </c>
      <c r="B3" s="225"/>
      <c r="C3" s="225"/>
    </row>
    <row r="4" spans="1:6" x14ac:dyDescent="0.2">
      <c r="A4" s="102" t="s">
        <v>2</v>
      </c>
      <c r="B4" s="225"/>
      <c r="C4" s="225"/>
    </row>
    <row r="6" spans="1:6" x14ac:dyDescent="0.2">
      <c r="A6" s="64" t="s">
        <v>3</v>
      </c>
      <c r="B6" s="65"/>
      <c r="C6" s="66"/>
      <c r="D6" s="67"/>
      <c r="E6" s="66"/>
      <c r="F6" s="66"/>
    </row>
    <row r="7" spans="1:6" x14ac:dyDescent="0.2">
      <c r="A7" s="68"/>
      <c r="B7" s="65"/>
      <c r="C7" s="69" t="s">
        <v>4</v>
      </c>
      <c r="D7" s="57"/>
      <c r="E7" s="66"/>
      <c r="F7" s="66"/>
    </row>
    <row r="8" spans="1:6" x14ac:dyDescent="0.2">
      <c r="A8" s="66"/>
      <c r="B8" s="66"/>
      <c r="C8" s="69" t="s">
        <v>91</v>
      </c>
      <c r="D8" s="70">
        <f>'Runoff Coefficient'!E32</f>
        <v>0</v>
      </c>
      <c r="E8" s="66" t="s">
        <v>28</v>
      </c>
      <c r="F8" s="66"/>
    </row>
    <row r="9" spans="1:6" x14ac:dyDescent="0.2">
      <c r="A9" s="66"/>
      <c r="B9" s="66"/>
      <c r="C9" s="69" t="s">
        <v>80</v>
      </c>
      <c r="D9" s="138">
        <v>0</v>
      </c>
      <c r="E9" s="71" t="s">
        <v>5</v>
      </c>
      <c r="F9" s="66"/>
    </row>
    <row r="10" spans="1:6" x14ac:dyDescent="0.2">
      <c r="A10" s="66"/>
      <c r="B10" s="66"/>
      <c r="C10" s="69" t="s">
        <v>92</v>
      </c>
      <c r="D10" s="70" t="e">
        <f>'Runoff Coefficient'!D34</f>
        <v>#DIV/0!</v>
      </c>
      <c r="E10" s="66"/>
      <c r="F10" s="66"/>
    </row>
    <row r="11" spans="1:6" x14ac:dyDescent="0.2">
      <c r="A11" s="66"/>
      <c r="B11" s="66"/>
      <c r="C11" s="69" t="s">
        <v>44</v>
      </c>
      <c r="D11" s="88"/>
      <c r="E11" s="66" t="s">
        <v>103</v>
      </c>
      <c r="F11" s="66"/>
    </row>
    <row r="12" spans="1:6" x14ac:dyDescent="0.2">
      <c r="A12" s="66"/>
      <c r="B12" s="66"/>
      <c r="C12" s="69"/>
      <c r="D12" s="70"/>
      <c r="E12" s="66"/>
      <c r="F12" s="66"/>
    </row>
    <row r="13" spans="1:6" x14ac:dyDescent="0.2">
      <c r="A13" s="66"/>
      <c r="B13" s="66"/>
      <c r="C13" s="96" t="s">
        <v>136</v>
      </c>
      <c r="D13" s="176"/>
      <c r="E13" s="66" t="s">
        <v>137</v>
      </c>
      <c r="F13" s="66"/>
    </row>
    <row r="14" spans="1:6" x14ac:dyDescent="0.2">
      <c r="A14" s="66"/>
      <c r="B14" s="66"/>
      <c r="C14" s="96" t="s">
        <v>138</v>
      </c>
      <c r="D14" s="176"/>
      <c r="E14" s="66" t="s">
        <v>121</v>
      </c>
      <c r="F14" s="66"/>
    </row>
    <row r="15" spans="1:6" x14ac:dyDescent="0.2">
      <c r="A15" s="66"/>
      <c r="B15" s="66"/>
      <c r="C15" s="69" t="s">
        <v>79</v>
      </c>
      <c r="D15" s="70" t="s">
        <v>135</v>
      </c>
      <c r="E15" s="66"/>
      <c r="F15" s="66"/>
    </row>
    <row r="16" spans="1:6" x14ac:dyDescent="0.2">
      <c r="A16" s="66"/>
      <c r="B16" s="66"/>
      <c r="C16" s="69" t="s">
        <v>79</v>
      </c>
      <c r="D16" s="150" t="e">
        <f>(D11/(D13*60))+D14</f>
        <v>#DIV/0!</v>
      </c>
      <c r="E16" s="66" t="s">
        <v>121</v>
      </c>
      <c r="F16" s="66"/>
    </row>
    <row r="17" spans="1:6" x14ac:dyDescent="0.2">
      <c r="A17" s="66"/>
      <c r="B17" s="66"/>
      <c r="C17" s="69"/>
      <c r="D17" s="72"/>
      <c r="E17" s="66"/>
      <c r="F17" s="66"/>
    </row>
    <row r="18" spans="1:6" x14ac:dyDescent="0.2">
      <c r="A18" s="66"/>
      <c r="B18" s="66"/>
      <c r="C18" s="69" t="s">
        <v>78</v>
      </c>
      <c r="D18" s="73">
        <f>+(1-D9)*D8</f>
        <v>0</v>
      </c>
      <c r="E18" s="66" t="s">
        <v>28</v>
      </c>
      <c r="F18" s="66"/>
    </row>
    <row r="19" spans="1:6" x14ac:dyDescent="0.2">
      <c r="A19" s="66"/>
      <c r="B19" s="66"/>
      <c r="C19" s="69" t="s">
        <v>77</v>
      </c>
      <c r="D19" s="73">
        <f>+D8*D9</f>
        <v>0</v>
      </c>
      <c r="E19" s="66" t="s">
        <v>28</v>
      </c>
      <c r="F19" s="66"/>
    </row>
    <row r="20" spans="1:6" x14ac:dyDescent="0.2">
      <c r="A20" s="66"/>
      <c r="B20" s="66"/>
      <c r="C20" s="66"/>
      <c r="D20" s="67"/>
      <c r="E20" s="66"/>
      <c r="F20" s="66"/>
    </row>
    <row r="21" spans="1:6" x14ac:dyDescent="0.2">
      <c r="A21" s="66"/>
      <c r="B21" s="66"/>
      <c r="C21" s="96" t="s">
        <v>6</v>
      </c>
      <c r="D21" s="67" t="s">
        <v>76</v>
      </c>
      <c r="E21" s="74" t="s">
        <v>123</v>
      </c>
      <c r="F21" s="66"/>
    </row>
    <row r="22" spans="1:6" x14ac:dyDescent="0.2">
      <c r="A22" s="66"/>
      <c r="B22" s="66"/>
      <c r="C22" s="69" t="s">
        <v>6</v>
      </c>
      <c r="D22" s="67" t="s">
        <v>139</v>
      </c>
      <c r="E22" s="66" t="s">
        <v>124</v>
      </c>
      <c r="F22" s="66"/>
    </row>
    <row r="23" spans="1:6" x14ac:dyDescent="0.2">
      <c r="A23" s="66"/>
      <c r="B23" s="66"/>
      <c r="C23" s="69" t="s">
        <v>6</v>
      </c>
      <c r="D23" s="75" t="e">
        <f>IF(D16&gt;30,175/(25+D16),136/(20+D16))</f>
        <v>#DIV/0!</v>
      </c>
      <c r="E23" s="66" t="s">
        <v>122</v>
      </c>
      <c r="F23" s="66"/>
    </row>
    <row r="24" spans="1:6" x14ac:dyDescent="0.2">
      <c r="A24" s="66"/>
      <c r="B24" s="66"/>
      <c r="C24" s="66"/>
      <c r="D24" s="67"/>
      <c r="E24" s="66"/>
      <c r="F24" s="66"/>
    </row>
    <row r="25" spans="1:6" x14ac:dyDescent="0.2">
      <c r="A25" s="66"/>
      <c r="B25" s="66"/>
      <c r="C25" s="69" t="s">
        <v>74</v>
      </c>
      <c r="D25" s="67">
        <v>0.2</v>
      </c>
      <c r="E25" s="74" t="s">
        <v>123</v>
      </c>
      <c r="F25" s="66"/>
    </row>
    <row r="26" spans="1:6" x14ac:dyDescent="0.2">
      <c r="A26" s="66"/>
      <c r="B26" s="66"/>
      <c r="C26" s="69" t="s">
        <v>74</v>
      </c>
      <c r="D26" s="67" t="s">
        <v>75</v>
      </c>
      <c r="E26" s="66" t="s">
        <v>124</v>
      </c>
      <c r="F26" s="66"/>
    </row>
    <row r="27" spans="1:6" x14ac:dyDescent="0.2">
      <c r="A27" s="66"/>
      <c r="B27" s="66"/>
      <c r="C27" s="69" t="s">
        <v>74</v>
      </c>
      <c r="D27" s="76" t="e">
        <f>IF(D16&gt;30,D25,D16/(80+4*D16))</f>
        <v>#DIV/0!</v>
      </c>
      <c r="E27" s="66"/>
      <c r="F27" s="66"/>
    </row>
    <row r="28" spans="1:6" x14ac:dyDescent="0.2">
      <c r="A28" s="66"/>
      <c r="B28" s="66"/>
      <c r="C28" s="66"/>
      <c r="D28" s="67"/>
      <c r="E28" s="66"/>
      <c r="F28" s="66"/>
    </row>
    <row r="29" spans="1:6" x14ac:dyDescent="0.2">
      <c r="A29" s="66"/>
      <c r="B29" s="66"/>
      <c r="C29" s="69" t="s">
        <v>72</v>
      </c>
      <c r="D29" s="67">
        <v>0.8</v>
      </c>
      <c r="E29" s="74" t="s">
        <v>123</v>
      </c>
      <c r="F29" s="66"/>
    </row>
    <row r="30" spans="1:6" x14ac:dyDescent="0.2">
      <c r="A30" s="66"/>
      <c r="B30" s="66"/>
      <c r="C30" s="69" t="s">
        <v>72</v>
      </c>
      <c r="D30" s="67" t="s">
        <v>73</v>
      </c>
      <c r="E30" s="66" t="s">
        <v>124</v>
      </c>
      <c r="F30" s="66"/>
    </row>
    <row r="31" spans="1:6" x14ac:dyDescent="0.2">
      <c r="A31" s="66"/>
      <c r="B31" s="66"/>
      <c r="C31" s="69" t="s">
        <v>72</v>
      </c>
      <c r="D31" s="76" t="e">
        <f>IF(D16&gt;30,D29,D16/(8+D16))</f>
        <v>#DIV/0!</v>
      </c>
      <c r="E31" s="66"/>
      <c r="F31" s="66"/>
    </row>
    <row r="32" spans="1:6" x14ac:dyDescent="0.2">
      <c r="A32" s="66"/>
      <c r="B32" s="66"/>
      <c r="C32" s="66"/>
      <c r="D32" s="76"/>
      <c r="E32" s="66"/>
      <c r="F32" s="66"/>
    </row>
    <row r="33" spans="1:6" ht="13.5" thickBot="1" x14ac:dyDescent="0.25">
      <c r="A33" s="65"/>
      <c r="B33" s="66"/>
      <c r="C33" s="69" t="s">
        <v>70</v>
      </c>
      <c r="D33" s="77" t="s">
        <v>71</v>
      </c>
      <c r="E33" s="66"/>
      <c r="F33" s="66"/>
    </row>
    <row r="34" spans="1:6" ht="13.5" thickBot="1" x14ac:dyDescent="0.25">
      <c r="A34" s="66"/>
      <c r="B34" s="78"/>
      <c r="C34" s="79" t="s">
        <v>70</v>
      </c>
      <c r="D34" s="80" t="e">
        <f>+(D31*D23*D19)+(D27*D23*D18)</f>
        <v>#DIV/0!</v>
      </c>
      <c r="E34" s="81" t="s">
        <v>99</v>
      </c>
      <c r="F34" s="66"/>
    </row>
    <row r="35" spans="1:6" x14ac:dyDescent="0.2">
      <c r="A35" s="66"/>
      <c r="B35" s="128"/>
      <c r="C35" s="129"/>
      <c r="D35" s="130"/>
      <c r="E35" s="128"/>
      <c r="F35" s="66"/>
    </row>
    <row r="36" spans="1:6" s="137" customFormat="1" x14ac:dyDescent="0.2">
      <c r="A36" s="140" t="s">
        <v>7</v>
      </c>
      <c r="B36" s="141"/>
      <c r="C36" s="90"/>
      <c r="D36" s="72"/>
      <c r="E36" s="90"/>
      <c r="F36" s="90"/>
    </row>
    <row r="37" spans="1:6" s="137" customFormat="1" x14ac:dyDescent="0.2">
      <c r="A37" s="142"/>
      <c r="B37" s="141"/>
      <c r="C37" s="105" t="s">
        <v>91</v>
      </c>
      <c r="D37" s="158">
        <f>D8</f>
        <v>0</v>
      </c>
      <c r="E37" s="1" t="s">
        <v>28</v>
      </c>
      <c r="F37" s="90"/>
    </row>
    <row r="38" spans="1:6" s="137" customFormat="1" x14ac:dyDescent="0.2">
      <c r="A38" s="142"/>
      <c r="B38" s="141"/>
      <c r="C38" s="136"/>
      <c r="D38" s="141"/>
      <c r="E38" s="90"/>
      <c r="F38" s="90"/>
    </row>
    <row r="39" spans="1:6" s="137" customFormat="1" x14ac:dyDescent="0.2">
      <c r="A39" s="142"/>
      <c r="B39" s="141"/>
      <c r="C39" s="136" t="s">
        <v>68</v>
      </c>
      <c r="D39" s="72" t="s">
        <v>69</v>
      </c>
      <c r="E39" s="90"/>
      <c r="F39" s="90"/>
    </row>
    <row r="40" spans="1:6" s="137" customFormat="1" x14ac:dyDescent="0.2">
      <c r="A40" s="90"/>
      <c r="B40" s="90"/>
      <c r="C40" s="136" t="s">
        <v>68</v>
      </c>
      <c r="D40" s="143" t="e">
        <f>+D34/(D37*D10)</f>
        <v>#DIV/0!</v>
      </c>
      <c r="E40" s="90" t="s">
        <v>125</v>
      </c>
      <c r="F40" s="90"/>
    </row>
    <row r="41" spans="1:6" x14ac:dyDescent="0.2">
      <c r="A41" s="90"/>
      <c r="B41" s="90"/>
      <c r="C41" s="136"/>
      <c r="D41" s="72"/>
      <c r="E41" s="90"/>
      <c r="F41" s="66"/>
    </row>
    <row r="42" spans="1:6" ht="15.75" x14ac:dyDescent="0.2">
      <c r="A42" s="90"/>
      <c r="B42" s="90"/>
      <c r="C42" s="136" t="s">
        <v>8</v>
      </c>
      <c r="D42" s="72" t="s">
        <v>140</v>
      </c>
      <c r="E42" s="90"/>
      <c r="F42" s="66"/>
    </row>
    <row r="43" spans="1:6" x14ac:dyDescent="0.2">
      <c r="A43" s="90"/>
      <c r="B43" s="90"/>
      <c r="C43" s="136" t="s">
        <v>8</v>
      </c>
      <c r="D43" s="150" t="e">
        <f>+((4080/D40)^0.5)-20</f>
        <v>#DIV/0!</v>
      </c>
      <c r="E43" s="66" t="s">
        <v>121</v>
      </c>
      <c r="F43" s="66"/>
    </row>
    <row r="44" spans="1:6" x14ac:dyDescent="0.2">
      <c r="A44" s="90"/>
      <c r="B44" s="90"/>
      <c r="C44" s="136"/>
      <c r="D44" s="72"/>
      <c r="E44" s="90"/>
      <c r="F44" s="66"/>
    </row>
    <row r="45" spans="1:6" x14ac:dyDescent="0.2">
      <c r="A45" s="141"/>
      <c r="B45" s="90"/>
      <c r="C45" s="136" t="s">
        <v>60</v>
      </c>
      <c r="D45" s="72" t="s">
        <v>141</v>
      </c>
      <c r="E45" s="141"/>
      <c r="F45" s="66"/>
    </row>
    <row r="46" spans="1:6" x14ac:dyDescent="0.2">
      <c r="A46" s="90"/>
      <c r="B46" s="90"/>
      <c r="C46" s="136" t="s">
        <v>60</v>
      </c>
      <c r="D46" s="151" t="e">
        <f>+((8160*D43)/(D43+20))-(40*D40*D43)</f>
        <v>#DIV/0!</v>
      </c>
      <c r="E46" s="90" t="s">
        <v>126</v>
      </c>
      <c r="F46" s="66"/>
    </row>
    <row r="47" spans="1:6" x14ac:dyDescent="0.2">
      <c r="A47" s="90"/>
      <c r="B47" s="141"/>
      <c r="C47" s="141"/>
      <c r="D47" s="72"/>
      <c r="E47" s="152"/>
      <c r="F47" s="66"/>
    </row>
    <row r="48" spans="1:6" ht="13.5" thickBot="1" x14ac:dyDescent="0.25">
      <c r="A48" s="141"/>
      <c r="B48" s="90"/>
      <c r="C48" s="136" t="s">
        <v>59</v>
      </c>
      <c r="D48" s="72" t="s">
        <v>58</v>
      </c>
      <c r="E48" s="141"/>
      <c r="F48" s="66"/>
    </row>
    <row r="49" spans="1:6" ht="13.5" thickBot="1" x14ac:dyDescent="0.25">
      <c r="A49" s="153"/>
      <c r="B49" s="154"/>
      <c r="C49" s="155" t="s">
        <v>59</v>
      </c>
      <c r="D49" s="156" t="e">
        <f>+D46*D37*D10</f>
        <v>#DIV/0!</v>
      </c>
      <c r="E49" s="157" t="s">
        <v>90</v>
      </c>
      <c r="F49" s="66"/>
    </row>
    <row r="50" spans="1:6" x14ac:dyDescent="0.2">
      <c r="A50" s="66"/>
      <c r="B50" s="128"/>
      <c r="C50" s="129"/>
      <c r="D50" s="130"/>
      <c r="E50" s="128"/>
      <c r="F50" s="66"/>
    </row>
    <row r="51" spans="1:6" x14ac:dyDescent="0.2">
      <c r="A51" s="103" t="s">
        <v>53</v>
      </c>
      <c r="B51" s="1"/>
      <c r="C51" s="1"/>
      <c r="D51" s="112"/>
      <c r="E51" s="1"/>
      <c r="F51" s="66"/>
    </row>
    <row r="52" spans="1:6" x14ac:dyDescent="0.2">
      <c r="A52" s="1"/>
      <c r="B52" s="1"/>
      <c r="C52" s="105" t="s">
        <v>9</v>
      </c>
      <c r="D52" s="162"/>
      <c r="E52" s="1" t="s">
        <v>103</v>
      </c>
      <c r="F52" s="66"/>
    </row>
    <row r="53" spans="1:6" x14ac:dyDescent="0.2">
      <c r="A53" s="1"/>
      <c r="B53" s="1"/>
      <c r="C53" s="105" t="s">
        <v>10</v>
      </c>
      <c r="D53" s="112"/>
      <c r="E53" s="1"/>
      <c r="F53" s="66"/>
    </row>
    <row r="54" spans="1:6" ht="15.75" x14ac:dyDescent="0.2">
      <c r="A54" s="1"/>
      <c r="B54" s="1"/>
      <c r="C54" s="105" t="s">
        <v>67</v>
      </c>
      <c r="D54" s="112" t="s">
        <v>11</v>
      </c>
      <c r="E54" s="1"/>
      <c r="F54" s="66"/>
    </row>
    <row r="55" spans="1:6" x14ac:dyDescent="0.2">
      <c r="A55" s="1"/>
      <c r="B55" s="1"/>
      <c r="C55" s="105" t="s">
        <v>67</v>
      </c>
      <c r="D55" s="131" t="e">
        <f>+D34/(0.62*((64.4*D52)^0.5))</f>
        <v>#DIV/0!</v>
      </c>
      <c r="E55" s="1" t="s">
        <v>105</v>
      </c>
      <c r="F55" s="66"/>
    </row>
    <row r="56" spans="1:6" ht="14.25" hidden="1" x14ac:dyDescent="0.25">
      <c r="A56" s="1"/>
      <c r="B56" s="132" t="s">
        <v>65</v>
      </c>
      <c r="C56" s="132"/>
      <c r="D56" s="133" t="s">
        <v>64</v>
      </c>
      <c r="E56" s="134"/>
      <c r="F56" s="66"/>
    </row>
    <row r="57" spans="1:6" hidden="1" x14ac:dyDescent="0.2">
      <c r="A57" s="1"/>
      <c r="B57" s="105"/>
      <c r="C57" s="105"/>
      <c r="D57" s="135" t="e">
        <f>#REF!/D55</f>
        <v>#REF!</v>
      </c>
      <c r="E57" s="134" t="s">
        <v>112</v>
      </c>
      <c r="F57" s="66"/>
    </row>
    <row r="58" spans="1:6" hidden="1" x14ac:dyDescent="0.2">
      <c r="A58" s="1"/>
      <c r="B58" s="105"/>
      <c r="C58" s="105"/>
      <c r="D58" s="135" t="e">
        <f>IF(D57&lt;1,1,#REF!/D55)</f>
        <v>#REF!</v>
      </c>
      <c r="E58" s="134" t="s">
        <v>112</v>
      </c>
      <c r="F58" s="66"/>
    </row>
    <row r="59" spans="1:6" x14ac:dyDescent="0.2">
      <c r="A59" s="1"/>
      <c r="B59" s="1"/>
      <c r="C59" s="105" t="s">
        <v>57</v>
      </c>
      <c r="D59" s="114" t="e">
        <f>+((4*(D55*144))/3.14159)^0.5</f>
        <v>#DIV/0!</v>
      </c>
      <c r="E59" s="1" t="s">
        <v>48</v>
      </c>
      <c r="F59" s="66"/>
    </row>
    <row r="60" spans="1:6" x14ac:dyDescent="0.2">
      <c r="A60" s="1"/>
      <c r="B60" s="1"/>
      <c r="C60" s="105"/>
      <c r="D60" s="114"/>
      <c r="E60" s="1"/>
      <c r="F60" s="66"/>
    </row>
    <row r="61" spans="1:6" x14ac:dyDescent="0.2">
      <c r="A61" s="64" t="s">
        <v>54</v>
      </c>
      <c r="B61" s="66"/>
      <c r="C61" s="66"/>
      <c r="D61" s="67"/>
      <c r="E61" s="66"/>
      <c r="F61" s="66"/>
    </row>
    <row r="62" spans="1:6" x14ac:dyDescent="0.2">
      <c r="A62" s="66"/>
      <c r="B62" s="66"/>
      <c r="C62" s="69" t="s">
        <v>12</v>
      </c>
      <c r="D62" s="57"/>
      <c r="E62" s="1" t="s">
        <v>48</v>
      </c>
      <c r="F62" s="66"/>
    </row>
    <row r="63" spans="1:6" x14ac:dyDescent="0.2">
      <c r="A63" s="66"/>
      <c r="B63" s="66"/>
      <c r="C63" s="69" t="s">
        <v>66</v>
      </c>
      <c r="D63" s="86">
        <f>+(3.14159/4)*(D62/12)^2</f>
        <v>0</v>
      </c>
      <c r="E63" s="1" t="s">
        <v>105</v>
      </c>
      <c r="F63" s="66"/>
    </row>
    <row r="64" spans="1:6" x14ac:dyDescent="0.2">
      <c r="A64" s="66"/>
      <c r="B64" s="66"/>
      <c r="C64" s="69" t="s">
        <v>9</v>
      </c>
      <c r="D64" s="159">
        <f>D52</f>
        <v>0</v>
      </c>
      <c r="E64" s="66" t="s">
        <v>103</v>
      </c>
      <c r="F64" s="66"/>
    </row>
    <row r="65" spans="1:6" x14ac:dyDescent="0.2">
      <c r="A65" s="66"/>
      <c r="B65" s="66"/>
      <c r="C65" s="96"/>
      <c r="D65" s="144"/>
      <c r="E65" s="66"/>
      <c r="F65" s="66"/>
    </row>
    <row r="66" spans="1:6" ht="15.75" x14ac:dyDescent="0.2">
      <c r="A66" s="66"/>
      <c r="B66" s="66"/>
      <c r="C66" s="69" t="s">
        <v>13</v>
      </c>
      <c r="D66" s="67" t="s">
        <v>113</v>
      </c>
      <c r="E66" s="65"/>
      <c r="F66" s="66"/>
    </row>
    <row r="67" spans="1:6" x14ac:dyDescent="0.2">
      <c r="A67" s="66"/>
      <c r="B67" s="66"/>
      <c r="C67" s="69" t="s">
        <v>13</v>
      </c>
      <c r="D67" s="73">
        <f>0.62*D63*((2*32.2*D64)^0.5)</f>
        <v>0</v>
      </c>
      <c r="E67" s="66" t="s">
        <v>99</v>
      </c>
      <c r="F67" s="66"/>
    </row>
    <row r="68" spans="1:6" x14ac:dyDescent="0.2">
      <c r="A68" s="66"/>
      <c r="B68" s="66"/>
      <c r="C68" s="69"/>
      <c r="D68" s="76"/>
      <c r="E68" s="66"/>
      <c r="F68" s="66"/>
    </row>
    <row r="69" spans="1:6" x14ac:dyDescent="0.2">
      <c r="A69" s="64" t="s">
        <v>55</v>
      </c>
      <c r="B69" s="66"/>
      <c r="C69" s="69"/>
      <c r="D69" s="76"/>
      <c r="E69" s="66"/>
      <c r="F69" s="66"/>
    </row>
    <row r="70" spans="1:6" x14ac:dyDescent="0.2">
      <c r="A70" s="187" t="s">
        <v>159</v>
      </c>
      <c r="B70" s="66"/>
      <c r="C70" s="96"/>
      <c r="D70" s="76"/>
      <c r="E70" s="66"/>
      <c r="F70" s="66"/>
    </row>
    <row r="71" spans="1:6" s="137" customFormat="1" x14ac:dyDescent="0.2">
      <c r="A71" s="90"/>
      <c r="B71" s="90"/>
      <c r="C71" s="136" t="s">
        <v>14</v>
      </c>
      <c r="D71" s="58"/>
      <c r="E71" s="90" t="s">
        <v>48</v>
      </c>
      <c r="F71" s="90"/>
    </row>
    <row r="72" spans="1:6" s="137" customFormat="1" x14ac:dyDescent="0.2">
      <c r="A72" s="90"/>
      <c r="B72" s="90"/>
      <c r="C72" s="136" t="s">
        <v>14</v>
      </c>
      <c r="D72" s="70">
        <f>+D71/12</f>
        <v>0</v>
      </c>
      <c r="E72" s="66" t="s">
        <v>103</v>
      </c>
      <c r="F72" s="90"/>
    </row>
    <row r="73" spans="1:6" s="137" customFormat="1" x14ac:dyDescent="0.2">
      <c r="A73" s="90"/>
      <c r="B73" s="90"/>
      <c r="C73" s="136"/>
      <c r="D73" s="70"/>
      <c r="E73" s="90"/>
      <c r="F73" s="90"/>
    </row>
    <row r="74" spans="1:6" s="137" customFormat="1" x14ac:dyDescent="0.2">
      <c r="A74" s="90"/>
      <c r="B74" s="90"/>
      <c r="C74" s="136" t="s">
        <v>15</v>
      </c>
      <c r="D74" s="59"/>
      <c r="E74" s="90"/>
      <c r="F74" s="90"/>
    </row>
    <row r="75" spans="1:6" s="137" customFormat="1" x14ac:dyDescent="0.2">
      <c r="A75" s="90"/>
      <c r="B75" s="90"/>
      <c r="C75" s="136" t="s">
        <v>114</v>
      </c>
      <c r="D75" s="44"/>
      <c r="E75" s="90" t="s">
        <v>5</v>
      </c>
      <c r="F75" s="90"/>
    </row>
    <row r="76" spans="1:6" s="137" customFormat="1" x14ac:dyDescent="0.2">
      <c r="A76" s="90"/>
      <c r="B76" s="90"/>
      <c r="C76" s="136"/>
      <c r="D76" s="87"/>
      <c r="E76" s="90"/>
      <c r="F76" s="90"/>
    </row>
    <row r="77" spans="1:6" s="137" customFormat="1" ht="15.75" x14ac:dyDescent="0.2">
      <c r="A77" s="90"/>
      <c r="B77" s="90"/>
      <c r="C77" s="136" t="s">
        <v>13</v>
      </c>
      <c r="D77" s="139" t="s">
        <v>63</v>
      </c>
      <c r="E77" s="90"/>
      <c r="F77" s="90"/>
    </row>
    <row r="78" spans="1:6" s="137" customFormat="1" x14ac:dyDescent="0.2">
      <c r="A78" s="90"/>
      <c r="B78" s="90"/>
      <c r="C78" s="136" t="s">
        <v>13</v>
      </c>
      <c r="D78" s="75" t="e">
        <f>+(0.7854*(D72^2))*(1.486/D74)*((D72/4)^0.667)*(D75^0.5)</f>
        <v>#DIV/0!</v>
      </c>
      <c r="E78" s="90" t="s">
        <v>99</v>
      </c>
      <c r="F78" s="90"/>
    </row>
    <row r="79" spans="1:6" s="137" customFormat="1" x14ac:dyDescent="0.2">
      <c r="A79" s="90"/>
      <c r="B79" s="90"/>
      <c r="C79" s="90"/>
      <c r="D79" s="72"/>
      <c r="E79" s="90"/>
      <c r="F79" s="90"/>
    </row>
    <row r="80" spans="1:6" x14ac:dyDescent="0.2">
      <c r="A80" s="51" t="s">
        <v>56</v>
      </c>
    </row>
    <row r="81" spans="1:6" x14ac:dyDescent="0.2">
      <c r="A81" s="56"/>
      <c r="B81" s="54"/>
      <c r="C81" s="49" t="s">
        <v>62</v>
      </c>
      <c r="D81" s="57">
        <v>0.93</v>
      </c>
      <c r="E81" s="46" t="s">
        <v>99</v>
      </c>
    </row>
    <row r="82" spans="1:6" x14ac:dyDescent="0.2">
      <c r="A82" s="56"/>
      <c r="B82" s="54"/>
      <c r="C82" s="49"/>
    </row>
    <row r="83" spans="1:6" x14ac:dyDescent="0.2">
      <c r="A83" s="56"/>
      <c r="B83" s="54"/>
      <c r="C83" s="49" t="s">
        <v>61</v>
      </c>
      <c r="D83" s="52" t="s">
        <v>115</v>
      </c>
    </row>
    <row r="84" spans="1:6" x14ac:dyDescent="0.2">
      <c r="C84" s="49" t="s">
        <v>61</v>
      </c>
      <c r="D84" s="160" t="e">
        <f>+D81/(D8*D10)</f>
        <v>#DIV/0!</v>
      </c>
      <c r="E84" s="46" t="s">
        <v>127</v>
      </c>
    </row>
    <row r="85" spans="1:6" x14ac:dyDescent="0.2">
      <c r="C85" s="49"/>
    </row>
    <row r="86" spans="1:6" ht="15.75" x14ac:dyDescent="0.2">
      <c r="C86" s="49" t="s">
        <v>8</v>
      </c>
      <c r="D86" s="50" t="s">
        <v>110</v>
      </c>
    </row>
    <row r="87" spans="1:6" x14ac:dyDescent="0.2">
      <c r="C87" s="49" t="s">
        <v>8</v>
      </c>
      <c r="D87" s="48" t="e">
        <f>+((6562.5/D84)^0.5)-25</f>
        <v>#DIV/0!</v>
      </c>
      <c r="E87" s="46" t="s">
        <v>121</v>
      </c>
    </row>
    <row r="88" spans="1:6" x14ac:dyDescent="0.2">
      <c r="C88" s="49"/>
    </row>
    <row r="89" spans="1:6" x14ac:dyDescent="0.2">
      <c r="A89" s="54"/>
      <c r="C89" s="49" t="s">
        <v>60</v>
      </c>
      <c r="D89" s="50" t="s">
        <v>111</v>
      </c>
      <c r="E89" s="54"/>
    </row>
    <row r="90" spans="1:6" x14ac:dyDescent="0.2">
      <c r="C90" s="49" t="s">
        <v>60</v>
      </c>
      <c r="D90" s="3" t="e">
        <f>+((10500*D87)/(D87+25))-(40*D84*D87)</f>
        <v>#DIV/0!</v>
      </c>
      <c r="E90" s="46" t="s">
        <v>126</v>
      </c>
    </row>
    <row r="91" spans="1:6" ht="13.5" thickBot="1" x14ac:dyDescent="0.25">
      <c r="B91" s="54"/>
      <c r="C91" s="54"/>
      <c r="E91" s="55"/>
    </row>
    <row r="92" spans="1:6" x14ac:dyDescent="0.2">
      <c r="A92" s="165"/>
      <c r="B92" s="166"/>
      <c r="C92" s="167" t="s">
        <v>59</v>
      </c>
      <c r="D92" s="168" t="s">
        <v>58</v>
      </c>
      <c r="E92" s="169"/>
    </row>
    <row r="93" spans="1:6" ht="13.5" thickBot="1" x14ac:dyDescent="0.25">
      <c r="A93" s="170"/>
      <c r="B93" s="171"/>
      <c r="C93" s="172" t="s">
        <v>16</v>
      </c>
      <c r="D93" s="173" t="e">
        <f>+D90*D8*D10</f>
        <v>#DIV/0!</v>
      </c>
      <c r="E93" s="174" t="s">
        <v>90</v>
      </c>
    </row>
    <row r="94" spans="1:6" x14ac:dyDescent="0.2">
      <c r="C94" s="49"/>
      <c r="D94" s="53"/>
    </row>
    <row r="95" spans="1:6" x14ac:dyDescent="0.2">
      <c r="C95" s="49" t="s">
        <v>128</v>
      </c>
      <c r="D95" s="164"/>
      <c r="E95" s="46" t="s">
        <v>90</v>
      </c>
    </row>
    <row r="96" spans="1:6" x14ac:dyDescent="0.2">
      <c r="A96" s="66"/>
      <c r="B96" s="66"/>
      <c r="C96" s="66"/>
      <c r="D96" s="82"/>
      <c r="E96" s="66"/>
      <c r="F96" s="66"/>
    </row>
    <row r="97" spans="1:6" x14ac:dyDescent="0.2">
      <c r="A97" s="103" t="s">
        <v>93</v>
      </c>
      <c r="B97" s="1"/>
      <c r="C97" s="1"/>
      <c r="D97" s="104"/>
      <c r="E97" s="1"/>
      <c r="F97" s="66"/>
    </row>
    <row r="98" spans="1:6" ht="15" thickBot="1" x14ac:dyDescent="0.3">
      <c r="A98" s="1"/>
      <c r="B98" s="1"/>
      <c r="C98" s="105" t="s">
        <v>129</v>
      </c>
      <c r="D98" s="106" t="s">
        <v>96</v>
      </c>
      <c r="E98" s="1"/>
      <c r="F98" s="66"/>
    </row>
    <row r="99" spans="1:6" ht="15" thickBot="1" x14ac:dyDescent="0.3">
      <c r="A99" s="1"/>
      <c r="B99" s="1"/>
      <c r="C99" s="107" t="s">
        <v>129</v>
      </c>
      <c r="D99" s="108" t="e">
        <f>3630*D8*D10</f>
        <v>#DIV/0!</v>
      </c>
      <c r="E99" s="109" t="s">
        <v>90</v>
      </c>
      <c r="F99" s="66"/>
    </row>
    <row r="100" spans="1:6" x14ac:dyDescent="0.2">
      <c r="A100" s="1"/>
      <c r="B100" s="1"/>
      <c r="C100" s="105"/>
      <c r="D100" s="104"/>
      <c r="E100" s="1"/>
      <c r="F100" s="66"/>
    </row>
    <row r="101" spans="1:6" x14ac:dyDescent="0.2">
      <c r="A101" s="103" t="s">
        <v>94</v>
      </c>
      <c r="B101" s="1"/>
      <c r="C101" s="105"/>
      <c r="D101" s="104"/>
      <c r="E101" s="1"/>
      <c r="F101" s="66"/>
    </row>
    <row r="102" spans="1:6" x14ac:dyDescent="0.2">
      <c r="A102" s="1" t="s">
        <v>97</v>
      </c>
      <c r="B102" s="1"/>
      <c r="C102" s="105"/>
      <c r="D102" s="104"/>
      <c r="E102" s="1"/>
      <c r="F102" s="66"/>
    </row>
    <row r="103" spans="1:6" ht="14.25" x14ac:dyDescent="0.25">
      <c r="A103" s="105" t="s">
        <v>98</v>
      </c>
      <c r="B103" s="125"/>
      <c r="C103" s="105" t="s">
        <v>130</v>
      </c>
      <c r="D103" s="106" t="s">
        <v>132</v>
      </c>
      <c r="E103" s="1"/>
      <c r="F103" s="66"/>
    </row>
    <row r="104" spans="1:6" ht="14.25" x14ac:dyDescent="0.25">
      <c r="A104" s="1"/>
      <c r="B104" s="1"/>
      <c r="C104" s="105" t="s">
        <v>131</v>
      </c>
      <c r="D104" s="110" t="e">
        <f>D99/(B103*3600)</f>
        <v>#DIV/0!</v>
      </c>
      <c r="E104" s="1" t="s">
        <v>99</v>
      </c>
      <c r="F104" s="66"/>
    </row>
    <row r="105" spans="1:6" x14ac:dyDescent="0.2">
      <c r="A105" s="111"/>
      <c r="B105" s="1"/>
      <c r="C105" s="105"/>
      <c r="D105" s="104"/>
      <c r="E105" s="1"/>
      <c r="F105" s="66"/>
    </row>
    <row r="106" spans="1:6" x14ac:dyDescent="0.2">
      <c r="A106" s="103" t="s">
        <v>95</v>
      </c>
      <c r="B106" s="1"/>
      <c r="C106" s="1"/>
      <c r="D106" s="112"/>
      <c r="E106" s="1"/>
      <c r="F106" s="66"/>
    </row>
    <row r="107" spans="1:6" ht="14.25" x14ac:dyDescent="0.25">
      <c r="A107" s="1"/>
      <c r="B107" s="1"/>
      <c r="C107" s="105" t="s">
        <v>100</v>
      </c>
      <c r="D107" s="1" t="s">
        <v>101</v>
      </c>
      <c r="E107" s="1"/>
      <c r="F107" s="66"/>
    </row>
    <row r="108" spans="1:6" x14ac:dyDescent="0.2">
      <c r="A108" s="1"/>
      <c r="B108" s="1"/>
      <c r="C108" s="105" t="s">
        <v>102</v>
      </c>
      <c r="D108" s="126"/>
      <c r="E108" s="113" t="s">
        <v>103</v>
      </c>
      <c r="F108" s="66"/>
    </row>
    <row r="109" spans="1:6" x14ac:dyDescent="0.2">
      <c r="A109" s="1"/>
      <c r="B109" s="1"/>
      <c r="C109" s="105" t="s">
        <v>104</v>
      </c>
      <c r="D109" s="126"/>
      <c r="E109" s="113" t="s">
        <v>103</v>
      </c>
      <c r="F109" s="66"/>
    </row>
    <row r="110" spans="1:6" ht="14.25" x14ac:dyDescent="0.25">
      <c r="A110" s="1"/>
      <c r="B110" s="1"/>
      <c r="C110" s="105" t="s">
        <v>109</v>
      </c>
      <c r="D110" s="114">
        <f>0.667*(D108-D109)</f>
        <v>0</v>
      </c>
      <c r="E110" s="113" t="s">
        <v>103</v>
      </c>
      <c r="F110" s="66"/>
    </row>
    <row r="111" spans="1:6" x14ac:dyDescent="0.2">
      <c r="A111" s="1"/>
      <c r="B111" s="19"/>
      <c r="C111" s="1"/>
      <c r="D111" s="112"/>
      <c r="E111" s="1"/>
      <c r="F111" s="66"/>
    </row>
    <row r="112" spans="1:6" ht="16.5" x14ac:dyDescent="0.25">
      <c r="A112" s="1"/>
      <c r="B112" s="1"/>
      <c r="C112" s="105" t="s">
        <v>160</v>
      </c>
      <c r="D112" s="106" t="s">
        <v>133</v>
      </c>
      <c r="E112" s="1"/>
      <c r="F112" s="66"/>
    </row>
    <row r="113" spans="1:8" ht="14.25" x14ac:dyDescent="0.25">
      <c r="A113" s="1"/>
      <c r="B113" s="1"/>
      <c r="C113" s="105" t="s">
        <v>160</v>
      </c>
      <c r="D113" s="110" t="e">
        <f>D104/((0.62)*(64.4*D110)^0.5)</f>
        <v>#DIV/0!</v>
      </c>
      <c r="E113" s="1" t="s">
        <v>105</v>
      </c>
      <c r="F113" s="66"/>
    </row>
    <row r="114" spans="1:8" ht="13.5" thickBot="1" x14ac:dyDescent="0.25">
      <c r="A114" s="1"/>
      <c r="B114" s="1"/>
      <c r="C114" s="105" t="s">
        <v>106</v>
      </c>
      <c r="D114" s="115" t="e">
        <f>SQRT(D113*144*4/PI())</f>
        <v>#DIV/0!</v>
      </c>
      <c r="E114" s="116" t="s">
        <v>48</v>
      </c>
      <c r="F114" s="66"/>
    </row>
    <row r="115" spans="1:8" ht="13.5" thickBot="1" x14ac:dyDescent="0.25">
      <c r="A115" s="1"/>
      <c r="B115" s="117"/>
      <c r="C115" s="118" t="s">
        <v>107</v>
      </c>
      <c r="D115" s="127"/>
      <c r="E115" s="119" t="s">
        <v>48</v>
      </c>
      <c r="F115" s="66"/>
    </row>
    <row r="116" spans="1:8" x14ac:dyDescent="0.2">
      <c r="A116" s="1"/>
      <c r="B116" s="1"/>
      <c r="C116" s="1"/>
      <c r="D116" s="163" t="e">
        <f>IF(D114&lt;=2, "Minimum diameter of 2 inches", "Round to the Nearest 1/8 inch")</f>
        <v>#DIV/0!</v>
      </c>
      <c r="E116" s="121"/>
      <c r="F116" s="66"/>
    </row>
    <row r="117" spans="1:8" x14ac:dyDescent="0.2">
      <c r="A117" s="1"/>
      <c r="B117" s="1"/>
      <c r="C117" s="1"/>
      <c r="D117" s="163"/>
      <c r="E117" s="121"/>
      <c r="F117" s="66"/>
    </row>
    <row r="118" spans="1:8" ht="14.25" x14ac:dyDescent="0.25">
      <c r="A118" s="1"/>
      <c r="B118" s="1"/>
      <c r="C118" s="105" t="s">
        <v>143</v>
      </c>
      <c r="D118" s="120">
        <f>PI()/4*(D115/12)^2</f>
        <v>0</v>
      </c>
      <c r="E118" s="1" t="s">
        <v>105</v>
      </c>
      <c r="F118" s="66"/>
    </row>
    <row r="119" spans="1:8" ht="16.5" x14ac:dyDescent="0.25">
      <c r="A119" s="1"/>
      <c r="B119" s="1"/>
      <c r="C119" s="122" t="s">
        <v>142</v>
      </c>
      <c r="D119" s="106" t="s">
        <v>144</v>
      </c>
      <c r="E119" s="1"/>
      <c r="F119" s="66"/>
    </row>
    <row r="120" spans="1:8" ht="14.25" x14ac:dyDescent="0.25">
      <c r="A120" s="1"/>
      <c r="B120" s="1"/>
      <c r="C120" s="122" t="s">
        <v>142</v>
      </c>
      <c r="D120" s="123">
        <f>(PI()*(D115/2/12)^2*((0.62)*(64.4*D110)^0.5))</f>
        <v>0</v>
      </c>
      <c r="E120" s="124" t="s">
        <v>99</v>
      </c>
    </row>
    <row r="121" spans="1:8" x14ac:dyDescent="0.2">
      <c r="A121" s="1"/>
      <c r="B121" s="1"/>
      <c r="C121" s="122"/>
      <c r="D121" s="123"/>
      <c r="E121" s="124"/>
    </row>
    <row r="122" spans="1:8" ht="14.25" x14ac:dyDescent="0.25">
      <c r="A122" s="1"/>
      <c r="B122" s="1"/>
      <c r="C122" s="105" t="s">
        <v>145</v>
      </c>
      <c r="D122" s="50" t="s">
        <v>146</v>
      </c>
      <c r="H122" s="47"/>
    </row>
    <row r="123" spans="1:8" ht="14.25" x14ac:dyDescent="0.25">
      <c r="A123" s="66"/>
      <c r="B123" s="66"/>
      <c r="C123" s="105" t="s">
        <v>145</v>
      </c>
      <c r="D123" s="104" t="e">
        <f>(D99/D120)/3600</f>
        <v>#DIV/0!</v>
      </c>
      <c r="E123" s="1" t="s">
        <v>108</v>
      </c>
    </row>
    <row r="125" spans="1:8" x14ac:dyDescent="0.2">
      <c r="D125" s="52"/>
    </row>
  </sheetData>
  <sheetProtection selectLockedCells="1"/>
  <dataConsolidate/>
  <mergeCells count="3">
    <mergeCell ref="B2:C2"/>
    <mergeCell ref="B3:C3"/>
    <mergeCell ref="B4:C4"/>
  </mergeCells>
  <conditionalFormatting sqref="D116:D118">
    <cfRule type="containsText" dxfId="1" priority="1" operator="containsText" text="Min">
      <formula>NOT(ISERROR(SEARCH("Min",D116)))</formula>
    </cfRule>
  </conditionalFormatting>
  <dataValidations count="3">
    <dataValidation type="list" allowBlank="1" showInputMessage="1" showErrorMessage="1" sqref="B103" xr:uid="{690C2249-BE7F-493D-B54C-6665994BC4A9}">
      <formula1>"18,19,20,21,22,23,24"</formula1>
    </dataValidation>
    <dataValidation type="list" allowBlank="1" showInputMessage="1" showErrorMessage="1" sqref="D71" xr:uid="{00000000-0002-0000-0400-000001000000}">
      <formula1>"4,6,10,12,15,18,21,24"</formula1>
    </dataValidation>
    <dataValidation type="list" allowBlank="1" showInputMessage="1" showErrorMessage="1" sqref="D74" xr:uid="{00000000-0002-0000-0400-000002000000}">
      <formula1>"0.009,0.012,0.025"</formula1>
    </dataValidation>
  </dataValidations>
  <pageMargins left="0.7" right="0.7" top="0.75" bottom="0.75" header="0.3" footer="0.3"/>
  <pageSetup scale="83" orientation="portrait" r:id="rId1"/>
  <headerFooter alignWithMargins="0">
    <oddHeader>&amp;L&amp;"Times New Roman,Regular"&amp;12Thomas Township
Stormwater Management Plan&amp;R&amp;"Times New Roman,Bold Italic"&amp;12&amp;A</oddHeader>
  </headerFooter>
  <rowBreaks count="1" manualBreakCount="1">
    <brk id="68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7"/>
  <sheetViews>
    <sheetView view="pageLayout" topLeftCell="A13" zoomScale="90" zoomScaleNormal="130" zoomScaleSheetLayoutView="120" zoomScalePageLayoutView="90" workbookViewId="0">
      <selection activeCell="D22" sqref="D22"/>
    </sheetView>
  </sheetViews>
  <sheetFormatPr defaultColWidth="9.140625" defaultRowHeight="12.75" x14ac:dyDescent="0.2"/>
  <cols>
    <col min="1" max="1" width="36.28515625" style="45" customWidth="1"/>
    <col min="2" max="2" width="31" style="149" customWidth="1"/>
    <col min="3" max="3" width="14.85546875" style="45" customWidth="1"/>
    <col min="4" max="16384" width="9.140625" style="45"/>
  </cols>
  <sheetData>
    <row r="2" spans="1:13" s="46" customFormat="1" x14ac:dyDescent="0.2">
      <c r="A2" s="226" t="s">
        <v>149</v>
      </c>
      <c r="B2" s="226"/>
      <c r="C2" s="226"/>
      <c r="D2" s="82"/>
    </row>
    <row r="3" spans="1:13" s="46" customFormat="1" x14ac:dyDescent="0.2">
      <c r="A3" s="96" t="s">
        <v>91</v>
      </c>
      <c r="B3" s="145">
        <f>'Stormwater Calculations'!D8</f>
        <v>0</v>
      </c>
      <c r="C3" s="74" t="s">
        <v>28</v>
      </c>
      <c r="D3" s="82"/>
    </row>
    <row r="4" spans="1:13" s="46" customFormat="1" ht="14.25" x14ac:dyDescent="0.25">
      <c r="A4" s="96" t="s">
        <v>116</v>
      </c>
      <c r="B4" s="145" t="e">
        <f>'Runoff Coefficient'!D15</f>
        <v>#DIV/0!</v>
      </c>
      <c r="C4" s="97"/>
      <c r="D4" s="82"/>
    </row>
    <row r="5" spans="1:13" s="46" customFormat="1" x14ac:dyDescent="0.2">
      <c r="A5" s="97"/>
      <c r="B5" s="146"/>
      <c r="C5" s="97"/>
      <c r="D5" s="82"/>
    </row>
    <row r="6" spans="1:13" s="46" customFormat="1" ht="14.25" x14ac:dyDescent="0.25">
      <c r="A6" s="96" t="s">
        <v>148</v>
      </c>
      <c r="B6" s="83" t="s">
        <v>147</v>
      </c>
      <c r="C6" s="66"/>
      <c r="D6" s="66"/>
      <c r="L6" s="49"/>
      <c r="M6" s="50"/>
    </row>
    <row r="7" spans="1:13" s="46" customFormat="1" ht="14.25" x14ac:dyDescent="0.25">
      <c r="A7" s="69" t="s">
        <v>148</v>
      </c>
      <c r="B7" s="82" t="e">
        <f>7768*B3*B4</f>
        <v>#DIV/0!</v>
      </c>
      <c r="C7" s="66" t="s">
        <v>90</v>
      </c>
      <c r="D7" s="66"/>
      <c r="L7" s="49"/>
      <c r="M7" s="50"/>
    </row>
    <row r="8" spans="1:13" s="46" customFormat="1" x14ac:dyDescent="0.2">
      <c r="A8" s="66"/>
      <c r="B8" s="82"/>
      <c r="C8" s="69"/>
      <c r="D8" s="82"/>
      <c r="L8" s="49"/>
      <c r="M8" s="50"/>
    </row>
    <row r="9" spans="1:13" s="46" customFormat="1" x14ac:dyDescent="0.2">
      <c r="A9" s="64" t="s">
        <v>166</v>
      </c>
      <c r="B9" s="67"/>
      <c r="C9" s="66"/>
      <c r="D9" s="66"/>
      <c r="L9" s="49"/>
      <c r="M9" s="50"/>
    </row>
    <row r="10" spans="1:13" s="46" customFormat="1" ht="14.25" x14ac:dyDescent="0.25">
      <c r="A10" s="49" t="s">
        <v>167</v>
      </c>
      <c r="B10" s="74" t="s">
        <v>162</v>
      </c>
      <c r="C10" s="161"/>
      <c r="D10" s="161"/>
      <c r="L10" s="49"/>
      <c r="M10" s="50"/>
    </row>
    <row r="11" spans="1:13" s="46" customFormat="1" x14ac:dyDescent="0.2">
      <c r="A11" s="69" t="s">
        <v>163</v>
      </c>
      <c r="B11" s="88"/>
      <c r="C11" s="74" t="s">
        <v>103</v>
      </c>
      <c r="D11" s="83"/>
      <c r="L11" s="49"/>
      <c r="M11" s="50"/>
    </row>
    <row r="12" spans="1:13" s="46" customFormat="1" x14ac:dyDescent="0.2">
      <c r="A12" s="89" t="s">
        <v>119</v>
      </c>
      <c r="B12" s="175"/>
      <c r="C12" s="74" t="s">
        <v>103</v>
      </c>
      <c r="D12" s="83"/>
      <c r="L12" s="49"/>
      <c r="M12" s="50"/>
    </row>
    <row r="13" spans="1:13" s="46" customFormat="1" ht="14.25" x14ac:dyDescent="0.25">
      <c r="A13" s="49" t="s">
        <v>167</v>
      </c>
      <c r="B13" s="147">
        <f>0.667*(B11-B12)</f>
        <v>0</v>
      </c>
      <c r="C13" s="74" t="s">
        <v>103</v>
      </c>
      <c r="D13" s="83"/>
      <c r="L13" s="49"/>
      <c r="M13" s="50"/>
    </row>
    <row r="14" spans="1:13" s="46" customFormat="1" x14ac:dyDescent="0.2">
      <c r="A14" s="49"/>
      <c r="B14" s="148"/>
      <c r="C14" s="74"/>
      <c r="D14" s="83"/>
      <c r="L14" s="49"/>
      <c r="M14" s="50"/>
    </row>
    <row r="15" spans="1:13" s="46" customFormat="1" ht="14.25" x14ac:dyDescent="0.25">
      <c r="A15" s="105" t="s">
        <v>169</v>
      </c>
      <c r="B15" s="91">
        <f>'Stormwater Calculations'!D118</f>
        <v>0</v>
      </c>
      <c r="C15" s="66" t="s">
        <v>105</v>
      </c>
      <c r="D15" s="83"/>
      <c r="L15" s="49"/>
      <c r="M15" s="50"/>
    </row>
    <row r="16" spans="1:13" s="46" customFormat="1" ht="16.5" x14ac:dyDescent="0.25">
      <c r="A16" s="96" t="s">
        <v>161</v>
      </c>
      <c r="B16" s="112" t="s">
        <v>175</v>
      </c>
      <c r="C16" s="74"/>
      <c r="D16" s="66"/>
      <c r="L16" s="49"/>
    </row>
    <row r="17" spans="1:13" s="46" customFormat="1" ht="14.25" x14ac:dyDescent="0.25">
      <c r="A17" s="96" t="s">
        <v>161</v>
      </c>
      <c r="B17" s="188">
        <f>B15*(64.4*B13)^0.5</f>
        <v>0</v>
      </c>
      <c r="C17" s="74" t="s">
        <v>99</v>
      </c>
      <c r="D17" s="66"/>
      <c r="L17" s="49"/>
    </row>
    <row r="18" spans="1:13" s="46" customFormat="1" x14ac:dyDescent="0.2">
      <c r="A18" s="85"/>
      <c r="B18" s="148"/>
      <c r="C18" s="74"/>
      <c r="D18" s="83"/>
      <c r="L18" s="49"/>
      <c r="M18" s="50"/>
    </row>
    <row r="19" spans="1:13" s="46" customFormat="1" ht="14.25" x14ac:dyDescent="0.25">
      <c r="A19" s="96" t="s">
        <v>176</v>
      </c>
      <c r="B19" s="91" t="s">
        <v>179</v>
      </c>
      <c r="C19" s="74"/>
      <c r="D19" s="83"/>
      <c r="L19" s="49"/>
      <c r="M19" s="50"/>
    </row>
    <row r="20" spans="1:13" s="46" customFormat="1" ht="14.25" x14ac:dyDescent="0.25">
      <c r="A20" s="96" t="s">
        <v>176</v>
      </c>
      <c r="B20" s="148" t="e">
        <f>B7/B17/3600</f>
        <v>#DIV/0!</v>
      </c>
      <c r="C20" s="74" t="s">
        <v>108</v>
      </c>
      <c r="D20" s="83"/>
      <c r="L20" s="49"/>
      <c r="M20" s="50"/>
    </row>
    <row r="21" spans="1:13" s="46" customFormat="1" x14ac:dyDescent="0.2">
      <c r="A21" s="85"/>
      <c r="B21" s="227" t="e">
        <f>IF(B20&gt;48,"Additional Orfice Needed, Compelete the Next Section","No Additional CP Orifice Required")</f>
        <v>#DIV/0!</v>
      </c>
      <c r="C21" s="74"/>
      <c r="D21" s="83"/>
      <c r="L21" s="49"/>
      <c r="M21" s="50"/>
    </row>
    <row r="22" spans="1:13" s="46" customFormat="1" x14ac:dyDescent="0.2">
      <c r="A22" s="85"/>
      <c r="B22" s="227"/>
      <c r="C22" s="74"/>
      <c r="D22" s="83"/>
      <c r="L22" s="49"/>
      <c r="M22" s="50"/>
    </row>
    <row r="23" spans="1:13" s="46" customFormat="1" x14ac:dyDescent="0.2">
      <c r="A23" s="85"/>
      <c r="B23" s="195"/>
      <c r="C23" s="74"/>
      <c r="D23" s="83"/>
      <c r="L23" s="49"/>
      <c r="M23" s="50"/>
    </row>
    <row r="24" spans="1:13" s="46" customFormat="1" x14ac:dyDescent="0.2">
      <c r="A24" s="64" t="s">
        <v>168</v>
      </c>
      <c r="B24" s="148"/>
      <c r="C24" s="74"/>
      <c r="D24" s="83"/>
      <c r="L24" s="49"/>
      <c r="M24" s="50"/>
    </row>
    <row r="25" spans="1:13" s="46" customFormat="1" x14ac:dyDescent="0.2">
      <c r="A25" s="194" t="s">
        <v>180</v>
      </c>
      <c r="B25" s="148"/>
      <c r="C25" s="74"/>
      <c r="D25" s="83"/>
      <c r="L25" s="49"/>
      <c r="M25" s="50"/>
    </row>
    <row r="26" spans="1:13" s="46" customFormat="1" ht="14.25" x14ac:dyDescent="0.25">
      <c r="A26" s="96" t="s">
        <v>177</v>
      </c>
      <c r="B26" s="178"/>
      <c r="C26" s="74" t="s">
        <v>108</v>
      </c>
      <c r="D26" s="83"/>
      <c r="L26" s="49"/>
      <c r="M26" s="50"/>
    </row>
    <row r="27" spans="1:13" s="46" customFormat="1" ht="14.25" x14ac:dyDescent="0.25">
      <c r="A27" s="96" t="s">
        <v>117</v>
      </c>
      <c r="B27" s="83" t="s">
        <v>120</v>
      </c>
      <c r="C27" s="66"/>
      <c r="D27" s="83"/>
      <c r="L27" s="49"/>
      <c r="M27" s="50"/>
    </row>
    <row r="28" spans="1:13" s="46" customFormat="1" ht="14.25" x14ac:dyDescent="0.25">
      <c r="A28" s="96" t="s">
        <v>117</v>
      </c>
      <c r="B28" s="82" t="e">
        <f>B26-'Stormwater Calculations'!D123</f>
        <v>#DIV/0!</v>
      </c>
      <c r="C28" s="66" t="s">
        <v>108</v>
      </c>
      <c r="D28" s="83"/>
      <c r="L28" s="49"/>
      <c r="M28" s="50"/>
    </row>
    <row r="29" spans="1:13" s="46" customFormat="1" x14ac:dyDescent="0.2">
      <c r="A29" s="96"/>
      <c r="B29" s="82"/>
      <c r="C29" s="66"/>
      <c r="D29" s="83"/>
      <c r="L29" s="49"/>
      <c r="M29" s="50"/>
    </row>
    <row r="30" spans="1:13" s="46" customFormat="1" ht="14.25" x14ac:dyDescent="0.25">
      <c r="A30" s="96" t="s">
        <v>118</v>
      </c>
      <c r="B30" s="91" t="s">
        <v>178</v>
      </c>
      <c r="C30" s="66"/>
      <c r="D30" s="83"/>
      <c r="L30" s="49"/>
      <c r="M30" s="50"/>
    </row>
    <row r="31" spans="1:13" s="46" customFormat="1" ht="14.25" x14ac:dyDescent="0.25">
      <c r="A31" s="96" t="s">
        <v>118</v>
      </c>
      <c r="B31" s="84" t="e">
        <f>B7-'Stormwater Calculations'!D99</f>
        <v>#DIV/0!</v>
      </c>
      <c r="C31" s="66" t="s">
        <v>90</v>
      </c>
      <c r="D31" s="83"/>
      <c r="L31" s="49"/>
      <c r="M31" s="50"/>
    </row>
    <row r="32" spans="1:13" s="46" customFormat="1" x14ac:dyDescent="0.2">
      <c r="A32" s="96"/>
      <c r="B32" s="84"/>
      <c r="C32" s="66"/>
      <c r="D32" s="83"/>
      <c r="L32" s="49"/>
      <c r="M32" s="50"/>
    </row>
    <row r="33" spans="1:12" s="46" customFormat="1" x14ac:dyDescent="0.2">
      <c r="A33" s="96"/>
      <c r="B33" s="179"/>
      <c r="C33" s="74"/>
      <c r="D33" s="66"/>
      <c r="L33" s="49"/>
    </row>
    <row r="34" spans="1:12" s="46" customFormat="1" ht="14.25" x14ac:dyDescent="0.25">
      <c r="A34" s="96" t="s">
        <v>164</v>
      </c>
      <c r="B34" s="179" t="s">
        <v>46</v>
      </c>
      <c r="D34" s="66"/>
      <c r="L34" s="49"/>
    </row>
    <row r="35" spans="1:12" s="46" customFormat="1" ht="14.25" x14ac:dyDescent="0.25">
      <c r="A35" s="96" t="s">
        <v>164</v>
      </c>
      <c r="B35" s="191" t="e">
        <f>B28*B17*3600</f>
        <v>#DIV/0!</v>
      </c>
      <c r="C35" s="74" t="s">
        <v>90</v>
      </c>
      <c r="D35" s="66"/>
      <c r="L35" s="49"/>
    </row>
    <row r="36" spans="1:12" s="46" customFormat="1" x14ac:dyDescent="0.2">
      <c r="A36" s="96"/>
      <c r="B36" s="179"/>
      <c r="C36" s="74"/>
      <c r="D36" s="66"/>
      <c r="L36" s="49"/>
    </row>
    <row r="37" spans="1:12" s="46" customFormat="1" ht="14.25" x14ac:dyDescent="0.25">
      <c r="A37" s="96" t="s">
        <v>165</v>
      </c>
      <c r="B37" s="179" t="s">
        <v>47</v>
      </c>
      <c r="C37" s="74"/>
      <c r="D37" s="66"/>
      <c r="L37" s="49"/>
    </row>
    <row r="38" spans="1:12" s="46" customFormat="1" ht="14.25" x14ac:dyDescent="0.25">
      <c r="A38" s="96" t="s">
        <v>165</v>
      </c>
      <c r="B38" s="192" t="e">
        <f>B31-B35</f>
        <v>#DIV/0!</v>
      </c>
      <c r="C38" s="74" t="s">
        <v>90</v>
      </c>
      <c r="D38" s="66"/>
      <c r="L38" s="49"/>
    </row>
    <row r="39" spans="1:12" s="46" customFormat="1" x14ac:dyDescent="0.2">
      <c r="B39" s="177"/>
      <c r="C39" s="74"/>
      <c r="D39" s="66"/>
      <c r="L39" s="49"/>
    </row>
    <row r="40" spans="1:12" s="46" customFormat="1" ht="14.25" x14ac:dyDescent="0.25">
      <c r="A40" s="96" t="s">
        <v>171</v>
      </c>
      <c r="B40" s="189" t="s">
        <v>170</v>
      </c>
      <c r="C40" s="66"/>
      <c r="D40" s="66"/>
    </row>
    <row r="41" spans="1:12" s="46" customFormat="1" ht="14.25" x14ac:dyDescent="0.25">
      <c r="A41" s="96" t="s">
        <v>171</v>
      </c>
      <c r="B41" s="193" t="e">
        <f>B38/(B28*3600)</f>
        <v>#DIV/0!</v>
      </c>
      <c r="C41" s="66" t="s">
        <v>99</v>
      </c>
      <c r="D41" s="66"/>
    </row>
    <row r="42" spans="1:12" s="46" customFormat="1" x14ac:dyDescent="0.2">
      <c r="A42" s="69"/>
      <c r="B42" s="67"/>
      <c r="C42" s="66"/>
      <c r="D42" s="66"/>
    </row>
    <row r="43" spans="1:12" s="46" customFormat="1" ht="16.5" x14ac:dyDescent="0.25">
      <c r="A43" s="96" t="s">
        <v>173</v>
      </c>
      <c r="B43" s="91" t="s">
        <v>172</v>
      </c>
      <c r="C43" s="66"/>
      <c r="D43" s="66"/>
    </row>
    <row r="44" spans="1:12" s="46" customFormat="1" ht="15" thickBot="1" x14ac:dyDescent="0.3">
      <c r="A44" s="96" t="s">
        <v>173</v>
      </c>
      <c r="B44" s="91" t="e">
        <f>B41/((0.62)*(64.4*B13)^0.5)</f>
        <v>#DIV/0!</v>
      </c>
      <c r="C44" s="66" t="s">
        <v>105</v>
      </c>
      <c r="D44" s="66"/>
    </row>
    <row r="45" spans="1:12" s="46" customFormat="1" ht="13.5" thickBot="1" x14ac:dyDescent="0.25">
      <c r="A45" s="190" t="s">
        <v>174</v>
      </c>
      <c r="B45" s="80" t="e">
        <f>SQRT(ABS(B44)*144*4/PI())</f>
        <v>#DIV/0!</v>
      </c>
      <c r="C45" s="81" t="s">
        <v>48</v>
      </c>
      <c r="D45" s="66"/>
    </row>
    <row r="46" spans="1:12" s="46" customFormat="1" x14ac:dyDescent="0.2">
      <c r="A46" s="96"/>
      <c r="B46" s="73" t="e">
        <f>IF(B45&lt;=2, "Minimum diameter of 2 inches", "Round to the Nearest 1/8 inch")</f>
        <v>#DIV/0!</v>
      </c>
      <c r="C46" s="66"/>
      <c r="D46" s="66"/>
    </row>
    <row r="47" spans="1:12" s="46" customFormat="1" x14ac:dyDescent="0.2">
      <c r="A47" s="69"/>
      <c r="B47" s="67"/>
      <c r="C47" s="66"/>
      <c r="D47" s="66"/>
      <c r="K47" s="49"/>
    </row>
  </sheetData>
  <sheetProtection selectLockedCells="1"/>
  <mergeCells count="2">
    <mergeCell ref="A2:C2"/>
    <mergeCell ref="B21:B22"/>
  </mergeCells>
  <conditionalFormatting sqref="B21">
    <cfRule type="expression" dxfId="0" priority="1">
      <formula>$B$20&gt;48</formula>
    </cfRule>
  </conditionalFormatting>
  <pageMargins left="0.7" right="0.7" top="0.75" bottom="0.75" header="0.3" footer="0.3"/>
  <pageSetup orientation="portrait" r:id="rId1"/>
  <headerFooter>
    <oddHeader>&amp;L&amp;"Times New Roman,Regular"&amp;12Thomas Township
Stormwater Management Plan&amp;R&amp;"Times New Roman,Bold Italic"&amp;12&amp;A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Site Description</vt:lpstr>
      <vt:lpstr>Runoff Coefficient</vt:lpstr>
      <vt:lpstr>Stormwater Calculations</vt:lpstr>
      <vt:lpstr>Channel Protection Calculations</vt:lpstr>
      <vt:lpstr>'Runoff Coefficient'!Print_Area</vt:lpstr>
      <vt:lpstr>'Site Description'!Print_Area</vt:lpstr>
      <vt:lpstr>'Stormwater Calculations'!Print_Area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Determination - Thomas Twp</dc:title>
  <dc:creator>Authorized Gateway Customer</dc:creator>
  <cp:lastModifiedBy>Martell, Erica A.</cp:lastModifiedBy>
  <cp:lastPrinted>2016-02-15T14:17:49Z</cp:lastPrinted>
  <dcterms:created xsi:type="dcterms:W3CDTF">1998-07-08T13:36:30Z</dcterms:created>
  <dcterms:modified xsi:type="dcterms:W3CDTF">2020-07-22T17:48:28Z</dcterms:modified>
</cp:coreProperties>
</file>